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Iskola\Egyetem\Szakdolgozat\VÉGLEGES\"/>
    </mc:Choice>
  </mc:AlternateContent>
  <xr:revisionPtr revIDLastSave="0" documentId="13_ncr:1_{CD8EE9DE-93A0-464E-8DEB-7F65628AAB19}" xr6:coauthVersionLast="47" xr6:coauthVersionMax="47" xr10:uidLastSave="{00000000-0000-0000-0000-000000000000}"/>
  <bookViews>
    <workbookView xWindow="-108" yWindow="-108" windowWidth="23256" windowHeight="12456" tabRatio="844" xr2:uid="{D208ED15-C7EF-44A6-B021-3DB57DBD1BAF}"/>
  </bookViews>
  <sheets>
    <sheet name="ADATOK" sheetId="1" r:id="rId1"/>
    <sheet name="CAMELS (C)" sheetId="16" r:id="rId2"/>
    <sheet name="CAMELS (A)" sheetId="7" r:id="rId3"/>
    <sheet name="CAMELS (M)" sheetId="19" r:id="rId4"/>
    <sheet name="CAMELS (E)" sheetId="21" r:id="rId5"/>
    <sheet name="CAMELS (L)" sheetId="30" r:id="rId6"/>
    <sheet name="CAMEL eredmény" sheetId="31" r:id="rId7"/>
    <sheet name="CAMEL értékelési tartomány" sheetId="34" r:id="rId8"/>
    <sheet name="CAMEL komplex értékelés" sheetId="35" r:id="rId9"/>
    <sheet name="Bankok rangsorolása" sheetId="36" r:id="rId10"/>
    <sheet name="Albaraka Turk (éves)" sheetId="22" r:id="rId11"/>
    <sheet name="Albaraka Turk (negyedéves)" sheetId="11" r:id="rId12"/>
    <sheet name="Kuveyt Turk (éves)" sheetId="23" r:id="rId13"/>
    <sheet name="Kuveyt Turk (negyedéves)" sheetId="8" r:id="rId14"/>
    <sheet name="Turkiye Finans (éves)" sheetId="24" r:id="rId15"/>
    <sheet name="Turkiye Finans (negyedéves)" sheetId="14" r:id="rId16"/>
    <sheet name="Ziraat Katilim (éves)" sheetId="26" r:id="rId17"/>
    <sheet name="Ziraat Katilim (negyedéves)" sheetId="9" r:id="rId18"/>
    <sheet name="Vakif Katilim (éves)" sheetId="27" r:id="rId19"/>
    <sheet name="Vakif Katilim (negyedéves)" sheetId="13" r:id="rId20"/>
    <sheet name="Emlak Katilim (éves)" sheetId="29" r:id="rId21"/>
    <sheet name="Emlak Katilim (negyedéves)" sheetId="12" r:id="rId2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0" i="30" l="1"/>
  <c r="H100" i="30"/>
  <c r="G100" i="30"/>
  <c r="F100" i="30"/>
  <c r="E100" i="30"/>
  <c r="D100" i="30"/>
  <c r="C100" i="30"/>
  <c r="I73" i="30"/>
  <c r="H73" i="30"/>
  <c r="G73" i="30"/>
  <c r="F73" i="30"/>
  <c r="E73" i="30"/>
  <c r="D73" i="30"/>
  <c r="C73" i="30"/>
  <c r="I58" i="30"/>
  <c r="H58" i="30"/>
  <c r="G58" i="30"/>
  <c r="F58" i="30"/>
  <c r="E58" i="30"/>
  <c r="D58" i="30"/>
  <c r="C58" i="30"/>
  <c r="I43" i="30"/>
  <c r="H43" i="30"/>
  <c r="G43" i="30"/>
  <c r="F43" i="30"/>
  <c r="E43" i="30"/>
  <c r="D43" i="30"/>
  <c r="C43" i="30"/>
  <c r="I108" i="21"/>
  <c r="H108" i="21"/>
  <c r="G108" i="21"/>
  <c r="F108" i="21"/>
  <c r="E108" i="21"/>
  <c r="D108" i="21"/>
  <c r="C108" i="21"/>
  <c r="I94" i="21"/>
  <c r="H94" i="21"/>
  <c r="G94" i="21"/>
  <c r="F94" i="21"/>
  <c r="E94" i="21"/>
  <c r="D94" i="21"/>
  <c r="C94" i="21"/>
  <c r="I53" i="21"/>
  <c r="H53" i="21"/>
  <c r="G53" i="21"/>
  <c r="F53" i="21"/>
  <c r="E53" i="21"/>
  <c r="D53" i="21"/>
  <c r="C53" i="21"/>
  <c r="I65" i="19"/>
  <c r="H65" i="19"/>
  <c r="G65" i="19"/>
  <c r="F65" i="19"/>
  <c r="E65" i="19"/>
  <c r="D65" i="19"/>
  <c r="C65" i="19"/>
  <c r="I38" i="19"/>
  <c r="H38" i="19"/>
  <c r="G38" i="19"/>
  <c r="F38" i="19"/>
  <c r="E38" i="19"/>
  <c r="D38" i="19"/>
  <c r="C38" i="19"/>
  <c r="I23" i="19"/>
  <c r="H23" i="19"/>
  <c r="G23" i="19"/>
  <c r="F23" i="19"/>
  <c r="E23" i="19"/>
  <c r="D23" i="19"/>
  <c r="C23" i="19"/>
  <c r="E52" i="16"/>
  <c r="J25" i="16"/>
  <c r="I25" i="16"/>
  <c r="H25" i="16"/>
  <c r="G25" i="16"/>
  <c r="F25" i="16"/>
  <c r="E25" i="16"/>
  <c r="D25" i="16"/>
  <c r="C25" i="16"/>
  <c r="J43" i="16"/>
  <c r="I43" i="16"/>
  <c r="H43" i="16"/>
  <c r="G43" i="16"/>
  <c r="F43" i="16"/>
  <c r="E43" i="16"/>
  <c r="D43" i="16"/>
  <c r="J28" i="16"/>
  <c r="I28" i="16"/>
  <c r="H28" i="16"/>
  <c r="G28" i="16"/>
  <c r="F28" i="16"/>
  <c r="E28" i="16"/>
  <c r="D28" i="16"/>
  <c r="S99" i="30"/>
  <c r="R99" i="30"/>
  <c r="R100" i="30" s="1"/>
  <c r="Q99" i="30"/>
  <c r="P99" i="30"/>
  <c r="Q100" i="30" s="1"/>
  <c r="O99" i="30"/>
  <c r="N99" i="30"/>
  <c r="N100" i="30" s="1"/>
  <c r="M99" i="30"/>
  <c r="L99" i="30"/>
  <c r="M100" i="30" s="1"/>
  <c r="S72" i="30"/>
  <c r="R72" i="30"/>
  <c r="Q72" i="30"/>
  <c r="P72" i="30"/>
  <c r="Q73" i="30" s="1"/>
  <c r="O72" i="30"/>
  <c r="N72" i="30"/>
  <c r="M72" i="30"/>
  <c r="L72" i="30"/>
  <c r="M73" i="30" s="1"/>
  <c r="S57" i="30"/>
  <c r="R57" i="30"/>
  <c r="Q57" i="30"/>
  <c r="P57" i="30"/>
  <c r="O57" i="30"/>
  <c r="N57" i="30"/>
  <c r="M57" i="30"/>
  <c r="L57" i="30"/>
  <c r="M42" i="30"/>
  <c r="N42" i="30"/>
  <c r="N43" i="30" s="1"/>
  <c r="O42" i="30"/>
  <c r="P42" i="30"/>
  <c r="P43" i="30" s="1"/>
  <c r="Q42" i="30"/>
  <c r="R42" i="30"/>
  <c r="R43" i="30" s="1"/>
  <c r="S42" i="30"/>
  <c r="L42" i="30"/>
  <c r="S107" i="21"/>
  <c r="S108" i="21" s="1"/>
  <c r="R107" i="21"/>
  <c r="R108" i="21" s="1"/>
  <c r="Q107" i="21"/>
  <c r="Q108" i="21" s="1"/>
  <c r="P107" i="21"/>
  <c r="O107" i="21"/>
  <c r="O108" i="21" s="1"/>
  <c r="N107" i="21"/>
  <c r="N108" i="21" s="1"/>
  <c r="M107" i="21"/>
  <c r="M108" i="21" s="1"/>
  <c r="L107" i="21"/>
  <c r="S93" i="21"/>
  <c r="S94" i="21" s="1"/>
  <c r="R93" i="21"/>
  <c r="R94" i="21" s="1"/>
  <c r="Q93" i="21"/>
  <c r="P93" i="21"/>
  <c r="Q94" i="21" s="1"/>
  <c r="O93" i="21"/>
  <c r="O94" i="21" s="1"/>
  <c r="N93" i="21"/>
  <c r="N94" i="21" s="1"/>
  <c r="M93" i="21"/>
  <c r="L93" i="21"/>
  <c r="M94" i="21" s="1"/>
  <c r="M52" i="21"/>
  <c r="M53" i="21" s="1"/>
  <c r="N52" i="21"/>
  <c r="O52" i="21"/>
  <c r="P52" i="21"/>
  <c r="P53" i="21" s="1"/>
  <c r="Q52" i="21"/>
  <c r="Q53" i="21" s="1"/>
  <c r="R52" i="21"/>
  <c r="S52" i="21"/>
  <c r="L52" i="21"/>
  <c r="S65" i="19"/>
  <c r="R65" i="19"/>
  <c r="Q65" i="19"/>
  <c r="P65" i="19"/>
  <c r="O65" i="19"/>
  <c r="N65" i="19"/>
  <c r="M65" i="19"/>
  <c r="B44" i="19"/>
  <c r="C44" i="19"/>
  <c r="D44" i="19"/>
  <c r="E44" i="19"/>
  <c r="F44" i="19"/>
  <c r="G44" i="19"/>
  <c r="H44" i="19"/>
  <c r="I44" i="19"/>
  <c r="B45" i="19"/>
  <c r="C45" i="19"/>
  <c r="D45" i="19"/>
  <c r="E45" i="19"/>
  <c r="F45" i="19"/>
  <c r="G45" i="19"/>
  <c r="H45" i="19"/>
  <c r="I45" i="19"/>
  <c r="B46" i="19"/>
  <c r="C46" i="19"/>
  <c r="D46" i="19"/>
  <c r="E46" i="19"/>
  <c r="F46" i="19"/>
  <c r="G46" i="19"/>
  <c r="H46" i="19"/>
  <c r="I46" i="19"/>
  <c r="D47" i="19"/>
  <c r="E47" i="19"/>
  <c r="F47" i="19"/>
  <c r="G47" i="19"/>
  <c r="H47" i="19"/>
  <c r="I47" i="19"/>
  <c r="E48" i="19"/>
  <c r="F48" i="19"/>
  <c r="G48" i="19"/>
  <c r="H48" i="19"/>
  <c r="I48" i="19"/>
  <c r="H49" i="19"/>
  <c r="I49" i="19"/>
  <c r="J49" i="19"/>
  <c r="B50" i="19"/>
  <c r="C50" i="19"/>
  <c r="D50" i="19"/>
  <c r="E50" i="19"/>
  <c r="F50" i="19"/>
  <c r="G50" i="19"/>
  <c r="H50" i="19"/>
  <c r="I50" i="19"/>
  <c r="T43" i="16"/>
  <c r="S43" i="16"/>
  <c r="R43" i="16"/>
  <c r="Q43" i="16"/>
  <c r="P43" i="16"/>
  <c r="O43" i="16"/>
  <c r="N43" i="16"/>
  <c r="E13" i="16"/>
  <c r="F13" i="16"/>
  <c r="G13" i="16"/>
  <c r="H13" i="16"/>
  <c r="I13" i="16"/>
  <c r="J13" i="16"/>
  <c r="D13" i="16"/>
  <c r="Q71" i="7"/>
  <c r="M91" i="30"/>
  <c r="N91" i="30"/>
  <c r="O91" i="30"/>
  <c r="P91" i="30"/>
  <c r="Q91" i="30"/>
  <c r="R91" i="30"/>
  <c r="S91" i="30"/>
  <c r="M92" i="30"/>
  <c r="N92" i="30"/>
  <c r="O92" i="30"/>
  <c r="P92" i="30"/>
  <c r="Q92" i="30"/>
  <c r="R92" i="30"/>
  <c r="S92" i="30"/>
  <c r="M93" i="30"/>
  <c r="N93" i="30"/>
  <c r="O93" i="30"/>
  <c r="P93" i="30"/>
  <c r="Q93" i="30"/>
  <c r="R93" i="30"/>
  <c r="S93" i="30"/>
  <c r="N94" i="30"/>
  <c r="O94" i="30"/>
  <c r="P94" i="30"/>
  <c r="Q94" i="30"/>
  <c r="R94" i="30"/>
  <c r="S94" i="30"/>
  <c r="O95" i="30"/>
  <c r="P95" i="30"/>
  <c r="Q95" i="30"/>
  <c r="R95" i="30"/>
  <c r="S95" i="30"/>
  <c r="R96" i="30"/>
  <c r="S96" i="30"/>
  <c r="L92" i="30"/>
  <c r="L93" i="30"/>
  <c r="L91" i="30"/>
  <c r="M64" i="30"/>
  <c r="N64" i="30"/>
  <c r="O64" i="30"/>
  <c r="P64" i="30"/>
  <c r="Q64" i="30"/>
  <c r="R64" i="30"/>
  <c r="S64" i="30"/>
  <c r="M65" i="30"/>
  <c r="N65" i="30"/>
  <c r="O65" i="30"/>
  <c r="P65" i="30"/>
  <c r="Q65" i="30"/>
  <c r="R65" i="30"/>
  <c r="S65" i="30"/>
  <c r="M66" i="30"/>
  <c r="N66" i="30"/>
  <c r="O66" i="30"/>
  <c r="P66" i="30"/>
  <c r="Q66" i="30"/>
  <c r="R66" i="30"/>
  <c r="S66" i="30"/>
  <c r="N67" i="30"/>
  <c r="O67" i="30"/>
  <c r="P67" i="30"/>
  <c r="Q67" i="30"/>
  <c r="R67" i="30"/>
  <c r="S67" i="30"/>
  <c r="O68" i="30"/>
  <c r="P68" i="30"/>
  <c r="Q68" i="30"/>
  <c r="R68" i="30"/>
  <c r="S68" i="30"/>
  <c r="R69" i="30"/>
  <c r="S69" i="30"/>
  <c r="L65" i="30"/>
  <c r="L66" i="30"/>
  <c r="L64" i="30"/>
  <c r="M49" i="30"/>
  <c r="N49" i="30"/>
  <c r="O49" i="30"/>
  <c r="P49" i="30"/>
  <c r="Q49" i="30"/>
  <c r="R49" i="30"/>
  <c r="S49" i="30"/>
  <c r="M50" i="30"/>
  <c r="N50" i="30"/>
  <c r="O50" i="30"/>
  <c r="P50" i="30"/>
  <c r="Q50" i="30"/>
  <c r="R50" i="30"/>
  <c r="S50" i="30"/>
  <c r="M51" i="30"/>
  <c r="N51" i="30"/>
  <c r="O51" i="30"/>
  <c r="P51" i="30"/>
  <c r="Q51" i="30"/>
  <c r="R51" i="30"/>
  <c r="S51" i="30"/>
  <c r="N52" i="30"/>
  <c r="O52" i="30"/>
  <c r="P52" i="30"/>
  <c r="Q52" i="30"/>
  <c r="R52" i="30"/>
  <c r="S52" i="30"/>
  <c r="O53" i="30"/>
  <c r="P53" i="30"/>
  <c r="Q53" i="30"/>
  <c r="R53" i="30"/>
  <c r="S53" i="30"/>
  <c r="R54" i="30"/>
  <c r="S54" i="30"/>
  <c r="L50" i="30"/>
  <c r="L51" i="30"/>
  <c r="L49" i="30"/>
  <c r="S39" i="30"/>
  <c r="R39" i="30"/>
  <c r="S38" i="30"/>
  <c r="R38" i="30"/>
  <c r="Q38" i="30"/>
  <c r="P38" i="30"/>
  <c r="O38" i="30"/>
  <c r="S37" i="30"/>
  <c r="R37" i="30"/>
  <c r="Q37" i="30"/>
  <c r="P37" i="30"/>
  <c r="O37" i="30"/>
  <c r="N37" i="30"/>
  <c r="S36" i="30"/>
  <c r="R36" i="30"/>
  <c r="Q36" i="30"/>
  <c r="P36" i="30"/>
  <c r="O36" i="30"/>
  <c r="N36" i="30"/>
  <c r="M36" i="30"/>
  <c r="S35" i="30"/>
  <c r="R35" i="30"/>
  <c r="Q35" i="30"/>
  <c r="P35" i="30"/>
  <c r="O35" i="30"/>
  <c r="N35" i="30"/>
  <c r="M35" i="30"/>
  <c r="S34" i="30"/>
  <c r="R34" i="30"/>
  <c r="Q34" i="30"/>
  <c r="P34" i="30"/>
  <c r="O34" i="30"/>
  <c r="N34" i="30"/>
  <c r="M34" i="30"/>
  <c r="L35" i="30"/>
  <c r="L36" i="30"/>
  <c r="L34" i="30"/>
  <c r="M44" i="21"/>
  <c r="N44" i="21"/>
  <c r="O44" i="21"/>
  <c r="P44" i="21"/>
  <c r="Q44" i="21"/>
  <c r="R44" i="21"/>
  <c r="S44" i="21"/>
  <c r="M45" i="21"/>
  <c r="N45" i="21"/>
  <c r="O45" i="21"/>
  <c r="P45" i="21"/>
  <c r="Q45" i="21"/>
  <c r="R45" i="21"/>
  <c r="S45" i="21"/>
  <c r="M46" i="21"/>
  <c r="N46" i="21"/>
  <c r="O46" i="21"/>
  <c r="P46" i="21"/>
  <c r="Q46" i="21"/>
  <c r="R46" i="21"/>
  <c r="S46" i="21"/>
  <c r="N47" i="21"/>
  <c r="O47" i="21"/>
  <c r="P47" i="21"/>
  <c r="Q47" i="21"/>
  <c r="R47" i="21"/>
  <c r="S47" i="21"/>
  <c r="O48" i="21"/>
  <c r="P48" i="21"/>
  <c r="Q48" i="21"/>
  <c r="R48" i="21"/>
  <c r="S48" i="21"/>
  <c r="R49" i="21"/>
  <c r="S49" i="21"/>
  <c r="L45" i="21"/>
  <c r="L46" i="21"/>
  <c r="L44" i="21"/>
  <c r="M99" i="21"/>
  <c r="N99" i="21"/>
  <c r="O99" i="21"/>
  <c r="P99" i="21"/>
  <c r="Q99" i="21"/>
  <c r="R99" i="21"/>
  <c r="S99" i="21"/>
  <c r="M100" i="21"/>
  <c r="N100" i="21"/>
  <c r="O100" i="21"/>
  <c r="P100" i="21"/>
  <c r="Q100" i="21"/>
  <c r="R100" i="21"/>
  <c r="S100" i="21"/>
  <c r="M101" i="21"/>
  <c r="N101" i="21"/>
  <c r="O101" i="21"/>
  <c r="P101" i="21"/>
  <c r="Q101" i="21"/>
  <c r="R101" i="21"/>
  <c r="S101" i="21"/>
  <c r="N102" i="21"/>
  <c r="O102" i="21"/>
  <c r="P102" i="21"/>
  <c r="Q102" i="21"/>
  <c r="R102" i="21"/>
  <c r="S102" i="21"/>
  <c r="O103" i="21"/>
  <c r="P103" i="21"/>
  <c r="Q103" i="21"/>
  <c r="R103" i="21"/>
  <c r="S103" i="21"/>
  <c r="R104" i="21"/>
  <c r="S104" i="21"/>
  <c r="L100" i="21"/>
  <c r="L101" i="21"/>
  <c r="L99" i="21"/>
  <c r="M85" i="21"/>
  <c r="N85" i="21"/>
  <c r="O85" i="21"/>
  <c r="P85" i="21"/>
  <c r="Q85" i="21"/>
  <c r="R85" i="21"/>
  <c r="S85" i="21"/>
  <c r="M86" i="21"/>
  <c r="N86" i="21"/>
  <c r="O86" i="21"/>
  <c r="P86" i="21"/>
  <c r="Q86" i="21"/>
  <c r="R86" i="21"/>
  <c r="S86" i="21"/>
  <c r="M87" i="21"/>
  <c r="N87" i="21"/>
  <c r="O87" i="21"/>
  <c r="P87" i="21"/>
  <c r="Q87" i="21"/>
  <c r="R87" i="21"/>
  <c r="S87" i="21"/>
  <c r="N88" i="21"/>
  <c r="O88" i="21"/>
  <c r="P88" i="21"/>
  <c r="Q88" i="21"/>
  <c r="R88" i="21"/>
  <c r="S88" i="21"/>
  <c r="O89" i="21"/>
  <c r="P89" i="21"/>
  <c r="Q89" i="21"/>
  <c r="R89" i="21"/>
  <c r="S89" i="21"/>
  <c r="R90" i="21"/>
  <c r="S90" i="21"/>
  <c r="L86" i="21"/>
  <c r="L87" i="21"/>
  <c r="L85" i="21"/>
  <c r="N68" i="7"/>
  <c r="O68" i="7"/>
  <c r="P68" i="7"/>
  <c r="Q68" i="7"/>
  <c r="R68" i="7"/>
  <c r="S68" i="7"/>
  <c r="T68" i="7"/>
  <c r="N69" i="7"/>
  <c r="O69" i="7"/>
  <c r="P69" i="7"/>
  <c r="Q69" i="7"/>
  <c r="R69" i="7"/>
  <c r="S69" i="7"/>
  <c r="T69" i="7"/>
  <c r="N70" i="7"/>
  <c r="O70" i="7"/>
  <c r="P70" i="7"/>
  <c r="Q70" i="7"/>
  <c r="R70" i="7"/>
  <c r="S70" i="7"/>
  <c r="T70" i="7"/>
  <c r="O71" i="7"/>
  <c r="P71" i="7"/>
  <c r="R71" i="7"/>
  <c r="S71" i="7"/>
  <c r="T71" i="7"/>
  <c r="P72" i="7"/>
  <c r="Q72" i="7"/>
  <c r="R72" i="7"/>
  <c r="S72" i="7"/>
  <c r="T72" i="7"/>
  <c r="S73" i="7"/>
  <c r="T73" i="7"/>
  <c r="M69" i="7"/>
  <c r="M74" i="7" s="1"/>
  <c r="M70" i="7"/>
  <c r="M68" i="7"/>
  <c r="Q74" i="7"/>
  <c r="M64" i="19"/>
  <c r="N64" i="19"/>
  <c r="O64" i="19"/>
  <c r="P64" i="19"/>
  <c r="Q64" i="19"/>
  <c r="R64" i="19"/>
  <c r="S64" i="19"/>
  <c r="L64" i="19"/>
  <c r="M56" i="19"/>
  <c r="N56" i="19"/>
  <c r="O56" i="19"/>
  <c r="P56" i="19"/>
  <c r="Q56" i="19"/>
  <c r="R56" i="19"/>
  <c r="S56" i="19"/>
  <c r="M57" i="19"/>
  <c r="N57" i="19"/>
  <c r="O57" i="19"/>
  <c r="P57" i="19"/>
  <c r="Q57" i="19"/>
  <c r="R57" i="19"/>
  <c r="S57" i="19"/>
  <c r="M58" i="19"/>
  <c r="N58" i="19"/>
  <c r="O58" i="19"/>
  <c r="P58" i="19"/>
  <c r="Q58" i="19"/>
  <c r="R58" i="19"/>
  <c r="S58" i="19"/>
  <c r="N59" i="19"/>
  <c r="O59" i="19"/>
  <c r="P59" i="19"/>
  <c r="Q59" i="19"/>
  <c r="R59" i="19"/>
  <c r="S59" i="19"/>
  <c r="O60" i="19"/>
  <c r="P60" i="19"/>
  <c r="Q60" i="19"/>
  <c r="R60" i="19"/>
  <c r="S60" i="19"/>
  <c r="R61" i="19"/>
  <c r="S61" i="19"/>
  <c r="L57" i="19"/>
  <c r="L58" i="19"/>
  <c r="L56" i="19"/>
  <c r="M37" i="19"/>
  <c r="M38" i="19" s="1"/>
  <c r="N37" i="19"/>
  <c r="N38" i="19" s="1"/>
  <c r="O37" i="19"/>
  <c r="P38" i="19" s="1"/>
  <c r="P37" i="19"/>
  <c r="Q37" i="19"/>
  <c r="Q38" i="19" s="1"/>
  <c r="R37" i="19"/>
  <c r="R38" i="19" s="1"/>
  <c r="S37" i="19"/>
  <c r="S38" i="19" s="1"/>
  <c r="L37" i="19"/>
  <c r="M29" i="19"/>
  <c r="N29" i="19"/>
  <c r="O29" i="19"/>
  <c r="P29" i="19"/>
  <c r="Q29" i="19"/>
  <c r="R29" i="19"/>
  <c r="S29" i="19"/>
  <c r="M30" i="19"/>
  <c r="N30" i="19"/>
  <c r="O30" i="19"/>
  <c r="P30" i="19"/>
  <c r="Q30" i="19"/>
  <c r="R30" i="19"/>
  <c r="S30" i="19"/>
  <c r="M31" i="19"/>
  <c r="N31" i="19"/>
  <c r="O31" i="19"/>
  <c r="P31" i="19"/>
  <c r="Q31" i="19"/>
  <c r="R31" i="19"/>
  <c r="S31" i="19"/>
  <c r="N32" i="19"/>
  <c r="O32" i="19"/>
  <c r="P32" i="19"/>
  <c r="Q32" i="19"/>
  <c r="R32" i="19"/>
  <c r="S32" i="19"/>
  <c r="O33" i="19"/>
  <c r="P33" i="19"/>
  <c r="Q33" i="19"/>
  <c r="R33" i="19"/>
  <c r="S33" i="19"/>
  <c r="R34" i="19"/>
  <c r="S34" i="19"/>
  <c r="L30" i="19"/>
  <c r="L31" i="19"/>
  <c r="L29" i="19"/>
  <c r="M22" i="19"/>
  <c r="M23" i="19" s="1"/>
  <c r="N22" i="19"/>
  <c r="O23" i="19" s="1"/>
  <c r="O22" i="19"/>
  <c r="P22" i="19"/>
  <c r="P23" i="19" s="1"/>
  <c r="Q22" i="19"/>
  <c r="Q23" i="19" s="1"/>
  <c r="R22" i="19"/>
  <c r="S23" i="19" s="1"/>
  <c r="S22" i="19"/>
  <c r="L22" i="19"/>
  <c r="M15" i="19"/>
  <c r="N15" i="19"/>
  <c r="O15" i="19"/>
  <c r="P15" i="19"/>
  <c r="Q15" i="19"/>
  <c r="R15" i="19"/>
  <c r="S15" i="19"/>
  <c r="M16" i="19"/>
  <c r="N16" i="19"/>
  <c r="O16" i="19"/>
  <c r="P16" i="19"/>
  <c r="Q16" i="19"/>
  <c r="R16" i="19"/>
  <c r="S16" i="19"/>
  <c r="N17" i="19"/>
  <c r="O17" i="19"/>
  <c r="P17" i="19"/>
  <c r="Q17" i="19"/>
  <c r="R17" i="19"/>
  <c r="S17" i="19"/>
  <c r="O18" i="19"/>
  <c r="P18" i="19"/>
  <c r="Q18" i="19"/>
  <c r="R18" i="19"/>
  <c r="S18" i="19"/>
  <c r="R19" i="19"/>
  <c r="S19" i="19"/>
  <c r="L15" i="19"/>
  <c r="L16" i="19"/>
  <c r="M14" i="19"/>
  <c r="N14" i="19"/>
  <c r="O14" i="19"/>
  <c r="P14" i="19"/>
  <c r="Q14" i="19"/>
  <c r="R14" i="19"/>
  <c r="S14" i="19"/>
  <c r="L14" i="19"/>
  <c r="K50" i="7"/>
  <c r="N42" i="16"/>
  <c r="O42" i="16"/>
  <c r="P42" i="16"/>
  <c r="Q42" i="16"/>
  <c r="R42" i="16"/>
  <c r="S42" i="16"/>
  <c r="T42" i="16"/>
  <c r="M42" i="16"/>
  <c r="N34" i="16"/>
  <c r="O34" i="16"/>
  <c r="P34" i="16"/>
  <c r="Q34" i="16"/>
  <c r="R34" i="16"/>
  <c r="S34" i="16"/>
  <c r="T34" i="16"/>
  <c r="N35" i="16"/>
  <c r="O35" i="16"/>
  <c r="P35" i="16"/>
  <c r="Q35" i="16"/>
  <c r="R35" i="16"/>
  <c r="S35" i="16"/>
  <c r="T35" i="16"/>
  <c r="N36" i="16"/>
  <c r="O36" i="16"/>
  <c r="P36" i="16"/>
  <c r="Q36" i="16"/>
  <c r="R36" i="16"/>
  <c r="S36" i="16"/>
  <c r="T36" i="16"/>
  <c r="O37" i="16"/>
  <c r="P37" i="16"/>
  <c r="Q37" i="16"/>
  <c r="R37" i="16"/>
  <c r="S37" i="16"/>
  <c r="T37" i="16"/>
  <c r="P38" i="16"/>
  <c r="Q38" i="16"/>
  <c r="R38" i="16"/>
  <c r="S38" i="16"/>
  <c r="T38" i="16"/>
  <c r="S39" i="16"/>
  <c r="T39" i="16"/>
  <c r="M35" i="16"/>
  <c r="M36" i="16"/>
  <c r="M34" i="16"/>
  <c r="O27" i="16"/>
  <c r="O28" i="16" s="1"/>
  <c r="N27" i="16"/>
  <c r="N28" i="16" s="1"/>
  <c r="P27" i="16"/>
  <c r="P28" i="16" s="1"/>
  <c r="Q27" i="16"/>
  <c r="R27" i="16"/>
  <c r="R28" i="16" s="1"/>
  <c r="S27" i="16"/>
  <c r="S28" i="16" s="1"/>
  <c r="T27" i="16"/>
  <c r="T28" i="16" s="1"/>
  <c r="M27" i="16"/>
  <c r="N20" i="16"/>
  <c r="O20" i="16"/>
  <c r="P20" i="16"/>
  <c r="Q20" i="16"/>
  <c r="R20" i="16"/>
  <c r="S20" i="16"/>
  <c r="T20" i="16"/>
  <c r="N21" i="16"/>
  <c r="O21" i="16"/>
  <c r="P21" i="16"/>
  <c r="Q21" i="16"/>
  <c r="R21" i="16"/>
  <c r="S21" i="16"/>
  <c r="T21" i="16"/>
  <c r="O22" i="16"/>
  <c r="P22" i="16"/>
  <c r="Q22" i="16"/>
  <c r="R22" i="16"/>
  <c r="S22" i="16"/>
  <c r="T22" i="16"/>
  <c r="P23" i="16"/>
  <c r="Q23" i="16"/>
  <c r="R23" i="16"/>
  <c r="S23" i="16"/>
  <c r="T23" i="16"/>
  <c r="S24" i="16"/>
  <c r="T24" i="16"/>
  <c r="M20" i="16"/>
  <c r="M21" i="16"/>
  <c r="M19" i="16"/>
  <c r="N19" i="16"/>
  <c r="O19" i="16"/>
  <c r="P19" i="16"/>
  <c r="Q19" i="16"/>
  <c r="R19" i="16"/>
  <c r="S19" i="16"/>
  <c r="T19" i="16"/>
  <c r="N12" i="16"/>
  <c r="N13" i="16" s="1"/>
  <c r="O12" i="16"/>
  <c r="O13" i="16" s="1"/>
  <c r="P12" i="16"/>
  <c r="Q12" i="16"/>
  <c r="R12" i="16"/>
  <c r="S12" i="16"/>
  <c r="S13" i="16" s="1"/>
  <c r="T12" i="16"/>
  <c r="M12" i="16"/>
  <c r="N5" i="16"/>
  <c r="O5" i="16"/>
  <c r="P5" i="16"/>
  <c r="Q5" i="16"/>
  <c r="R5" i="16"/>
  <c r="S5" i="16"/>
  <c r="T5" i="16"/>
  <c r="N6" i="16"/>
  <c r="O6" i="16"/>
  <c r="P6" i="16"/>
  <c r="Q6" i="16"/>
  <c r="R6" i="16"/>
  <c r="S6" i="16"/>
  <c r="T6" i="16"/>
  <c r="O7" i="16"/>
  <c r="P7" i="16"/>
  <c r="Q7" i="16"/>
  <c r="R7" i="16"/>
  <c r="S7" i="16"/>
  <c r="T7" i="16"/>
  <c r="P8" i="16"/>
  <c r="Q8" i="16"/>
  <c r="R8" i="16"/>
  <c r="S8" i="16"/>
  <c r="T8" i="16"/>
  <c r="S9" i="16"/>
  <c r="T9" i="16"/>
  <c r="M5" i="16"/>
  <c r="M6" i="16"/>
  <c r="N4" i="16"/>
  <c r="O4" i="16"/>
  <c r="P4" i="16"/>
  <c r="Q4" i="16"/>
  <c r="R4" i="16"/>
  <c r="S4" i="16"/>
  <c r="T4" i="16"/>
  <c r="M4" i="16"/>
  <c r="G4" i="31"/>
  <c r="G5" i="31"/>
  <c r="G6" i="31"/>
  <c r="G7" i="31"/>
  <c r="G8" i="31"/>
  <c r="G3" i="31"/>
  <c r="F4" i="31"/>
  <c r="F5" i="31"/>
  <c r="F6" i="31"/>
  <c r="F7" i="31"/>
  <c r="F8" i="31"/>
  <c r="F3" i="31"/>
  <c r="E4" i="31"/>
  <c r="E5" i="31"/>
  <c r="E6" i="31"/>
  <c r="E7" i="31"/>
  <c r="E8" i="31"/>
  <c r="E3" i="31"/>
  <c r="D4" i="31"/>
  <c r="D5" i="31"/>
  <c r="D6" i="31"/>
  <c r="D7" i="31"/>
  <c r="D8" i="31"/>
  <c r="D3" i="31"/>
  <c r="C4" i="31"/>
  <c r="C5" i="31"/>
  <c r="C6" i="31"/>
  <c r="C7" i="31"/>
  <c r="C8" i="31"/>
  <c r="C3" i="31"/>
  <c r="C120" i="21"/>
  <c r="D120" i="21"/>
  <c r="E120" i="21"/>
  <c r="F120" i="21"/>
  <c r="G120" i="21"/>
  <c r="H120" i="21"/>
  <c r="I120" i="21"/>
  <c r="B120" i="21"/>
  <c r="H119" i="21"/>
  <c r="I119" i="21"/>
  <c r="E118" i="21"/>
  <c r="F118" i="21"/>
  <c r="G118" i="21"/>
  <c r="H118" i="21"/>
  <c r="I118" i="21"/>
  <c r="D117" i="21"/>
  <c r="E117" i="21"/>
  <c r="F117" i="21"/>
  <c r="G117" i="21"/>
  <c r="H117" i="21"/>
  <c r="I117" i="21"/>
  <c r="C116" i="21"/>
  <c r="D116" i="21"/>
  <c r="E116" i="21"/>
  <c r="F116" i="21"/>
  <c r="G116" i="21"/>
  <c r="H116" i="21"/>
  <c r="I116" i="21"/>
  <c r="C115" i="21"/>
  <c r="D115" i="21"/>
  <c r="E115" i="21"/>
  <c r="F115" i="21"/>
  <c r="G115" i="21"/>
  <c r="H115" i="21"/>
  <c r="I115" i="21"/>
  <c r="B115" i="21"/>
  <c r="B116" i="21"/>
  <c r="C114" i="21"/>
  <c r="D114" i="21"/>
  <c r="E114" i="21"/>
  <c r="F114" i="21"/>
  <c r="G114" i="21"/>
  <c r="H114" i="21"/>
  <c r="I114" i="21"/>
  <c r="B114" i="21"/>
  <c r="I91" i="21"/>
  <c r="I92" i="21" s="1"/>
  <c r="H91" i="21"/>
  <c r="G91" i="21"/>
  <c r="H92" i="21" s="1"/>
  <c r="F91" i="21"/>
  <c r="E91" i="21"/>
  <c r="D91" i="21"/>
  <c r="C91" i="21"/>
  <c r="D92" i="21" s="1"/>
  <c r="B91" i="21"/>
  <c r="I105" i="21"/>
  <c r="I106" i="21" s="1"/>
  <c r="H105" i="21"/>
  <c r="G105" i="21"/>
  <c r="F105" i="21"/>
  <c r="E105" i="21"/>
  <c r="E106" i="21" s="1"/>
  <c r="D105" i="21"/>
  <c r="C105" i="21"/>
  <c r="B105" i="21"/>
  <c r="S71" i="1"/>
  <c r="R71" i="1"/>
  <c r="Q71" i="1"/>
  <c r="P71" i="1"/>
  <c r="O71" i="1"/>
  <c r="N71" i="1"/>
  <c r="M71" i="1"/>
  <c r="L71" i="1"/>
  <c r="S70" i="1"/>
  <c r="R70" i="1"/>
  <c r="Q70" i="1"/>
  <c r="P70" i="1"/>
  <c r="S69" i="1"/>
  <c r="R69" i="1"/>
  <c r="Q69" i="1"/>
  <c r="P69" i="1"/>
  <c r="O69" i="1"/>
  <c r="N69" i="1"/>
  <c r="S68" i="1"/>
  <c r="R68" i="1"/>
  <c r="Q68" i="1"/>
  <c r="P68" i="1"/>
  <c r="O68" i="1"/>
  <c r="N68" i="1"/>
  <c r="M68" i="1"/>
  <c r="S67" i="1"/>
  <c r="R67" i="1"/>
  <c r="Q67" i="1"/>
  <c r="P67" i="1"/>
  <c r="O67" i="1"/>
  <c r="N67" i="1"/>
  <c r="M67" i="1"/>
  <c r="L67" i="1"/>
  <c r="S66" i="1"/>
  <c r="R66" i="1"/>
  <c r="Q66" i="1"/>
  <c r="P66" i="1"/>
  <c r="O66" i="1"/>
  <c r="N66" i="1"/>
  <c r="M66" i="1"/>
  <c r="L66" i="1"/>
  <c r="S65" i="1"/>
  <c r="R65" i="1"/>
  <c r="Q65" i="1"/>
  <c r="P65" i="1"/>
  <c r="O65" i="1"/>
  <c r="N65" i="1"/>
  <c r="M65" i="1"/>
  <c r="L65" i="1"/>
  <c r="G59" i="21"/>
  <c r="B72" i="21"/>
  <c r="B59" i="21"/>
  <c r="B83" i="19"/>
  <c r="C89" i="19"/>
  <c r="D89" i="19"/>
  <c r="E89" i="19"/>
  <c r="F89" i="19"/>
  <c r="G89" i="19"/>
  <c r="H89" i="19"/>
  <c r="I89" i="19"/>
  <c r="B89" i="19"/>
  <c r="C77" i="19"/>
  <c r="D77" i="19"/>
  <c r="E77" i="19"/>
  <c r="F77" i="19"/>
  <c r="G77" i="19"/>
  <c r="H77" i="19"/>
  <c r="I77" i="19"/>
  <c r="B77" i="19"/>
  <c r="I62" i="19"/>
  <c r="H62" i="19"/>
  <c r="G62" i="19"/>
  <c r="F62" i="19"/>
  <c r="E62" i="19"/>
  <c r="D62" i="19"/>
  <c r="C62" i="19"/>
  <c r="B62" i="19"/>
  <c r="B105" i="1"/>
  <c r="C105" i="1"/>
  <c r="D105" i="1"/>
  <c r="E105" i="1"/>
  <c r="F105" i="1"/>
  <c r="G105" i="1"/>
  <c r="H105" i="1"/>
  <c r="I105" i="1"/>
  <c r="B106" i="1"/>
  <c r="B107" i="1"/>
  <c r="C106" i="1"/>
  <c r="C107" i="1"/>
  <c r="C108" i="1"/>
  <c r="C109" i="1"/>
  <c r="C110" i="1"/>
  <c r="D106" i="1"/>
  <c r="E106" i="1"/>
  <c r="F106" i="1"/>
  <c r="G106" i="1"/>
  <c r="H106" i="1"/>
  <c r="I106" i="1"/>
  <c r="D107" i="1"/>
  <c r="E107" i="1"/>
  <c r="F107" i="1"/>
  <c r="G107" i="1"/>
  <c r="H107" i="1"/>
  <c r="I107" i="1"/>
  <c r="D108" i="1"/>
  <c r="E108" i="1"/>
  <c r="F108" i="1"/>
  <c r="G108" i="1"/>
  <c r="H108" i="1"/>
  <c r="I108" i="1"/>
  <c r="D109" i="1"/>
  <c r="E109" i="1"/>
  <c r="F109" i="1"/>
  <c r="G109" i="1"/>
  <c r="H109" i="1"/>
  <c r="I109" i="1"/>
  <c r="F110" i="1"/>
  <c r="G110" i="1"/>
  <c r="H110" i="1"/>
  <c r="I110" i="1"/>
  <c r="B95" i="1"/>
  <c r="C95" i="1"/>
  <c r="D95" i="1"/>
  <c r="E95" i="1"/>
  <c r="F95" i="1"/>
  <c r="G95" i="1"/>
  <c r="H95" i="1"/>
  <c r="I95" i="1"/>
  <c r="B96" i="1"/>
  <c r="C96" i="1"/>
  <c r="D96" i="1"/>
  <c r="E96" i="1"/>
  <c r="F96" i="1"/>
  <c r="G96" i="1"/>
  <c r="H96" i="1"/>
  <c r="I96" i="1"/>
  <c r="B97" i="1"/>
  <c r="C51" i="16" s="1"/>
  <c r="C97" i="1"/>
  <c r="D97" i="1"/>
  <c r="E97" i="1"/>
  <c r="F51" i="16" s="1"/>
  <c r="F97" i="1"/>
  <c r="G51" i="16" s="1"/>
  <c r="G97" i="1"/>
  <c r="H97" i="1"/>
  <c r="I97" i="1"/>
  <c r="J51" i="16" s="1"/>
  <c r="B98" i="1"/>
  <c r="C98" i="1"/>
  <c r="D98" i="1"/>
  <c r="E98" i="1"/>
  <c r="F52" i="16" s="1"/>
  <c r="F98" i="1"/>
  <c r="G52" i="16" s="1"/>
  <c r="G98" i="1"/>
  <c r="H98" i="1"/>
  <c r="I98" i="1"/>
  <c r="J52" i="16" s="1"/>
  <c r="B99" i="1"/>
  <c r="C99" i="1"/>
  <c r="D99" i="1"/>
  <c r="E99" i="1"/>
  <c r="F53" i="16" s="1"/>
  <c r="F99" i="1"/>
  <c r="G53" i="16" s="1"/>
  <c r="G99" i="1"/>
  <c r="H99" i="1"/>
  <c r="I99" i="1"/>
  <c r="J53" i="16" s="1"/>
  <c r="B100" i="1"/>
  <c r="C100" i="1"/>
  <c r="D100" i="1"/>
  <c r="E100" i="1"/>
  <c r="F100" i="1"/>
  <c r="G100" i="1"/>
  <c r="H100" i="1"/>
  <c r="I100" i="1"/>
  <c r="J54" i="16" s="1"/>
  <c r="B108" i="1"/>
  <c r="B109" i="1"/>
  <c r="B110" i="1"/>
  <c r="D110" i="1"/>
  <c r="E110" i="1"/>
  <c r="B111" i="1"/>
  <c r="C67" i="16" s="1"/>
  <c r="C111" i="1"/>
  <c r="D111" i="1"/>
  <c r="E67" i="16" s="1"/>
  <c r="E111" i="1"/>
  <c r="F67" i="16" s="1"/>
  <c r="F111" i="1"/>
  <c r="G67" i="16" s="1"/>
  <c r="G111" i="1"/>
  <c r="H111" i="1"/>
  <c r="I111" i="1"/>
  <c r="J67" i="16" s="1"/>
  <c r="J74" i="7"/>
  <c r="J75" i="7" s="1"/>
  <c r="I74" i="7"/>
  <c r="I75" i="7" s="1"/>
  <c r="H74" i="7"/>
  <c r="H75" i="7" s="1"/>
  <c r="G74" i="7"/>
  <c r="F74" i="7"/>
  <c r="E74" i="7"/>
  <c r="E75" i="7" s="1"/>
  <c r="D74" i="7"/>
  <c r="C74" i="7"/>
  <c r="C62" i="7"/>
  <c r="D62" i="7"/>
  <c r="E62" i="7"/>
  <c r="F62" i="7"/>
  <c r="G62" i="7"/>
  <c r="H62" i="7"/>
  <c r="I62" i="7"/>
  <c r="J62" i="7"/>
  <c r="C124" i="30"/>
  <c r="D124" i="30"/>
  <c r="E124" i="30"/>
  <c r="F124" i="30"/>
  <c r="G124" i="30"/>
  <c r="H124" i="30"/>
  <c r="I124" i="30"/>
  <c r="B124" i="30"/>
  <c r="C85" i="30"/>
  <c r="D85" i="30"/>
  <c r="E85" i="30"/>
  <c r="F85" i="30"/>
  <c r="G85" i="30"/>
  <c r="H85" i="30"/>
  <c r="I85" i="30"/>
  <c r="B85" i="30"/>
  <c r="B61" i="21"/>
  <c r="F75" i="19"/>
  <c r="F73" i="19"/>
  <c r="B73" i="19"/>
  <c r="F71" i="19"/>
  <c r="B71" i="19"/>
  <c r="J18" i="7"/>
  <c r="I18" i="7"/>
  <c r="I61" i="7" s="1"/>
  <c r="H18" i="7"/>
  <c r="G18" i="7"/>
  <c r="F18" i="7"/>
  <c r="E18" i="7"/>
  <c r="D18" i="7"/>
  <c r="C18" i="7"/>
  <c r="J17" i="7"/>
  <c r="J60" i="7" s="1"/>
  <c r="I17" i="7"/>
  <c r="I60" i="7" s="1"/>
  <c r="H17" i="7"/>
  <c r="H48" i="7" s="1"/>
  <c r="G17" i="7"/>
  <c r="G60" i="7" s="1"/>
  <c r="F17" i="7"/>
  <c r="F48" i="7" s="1"/>
  <c r="E17" i="7"/>
  <c r="D17" i="7"/>
  <c r="C17" i="7"/>
  <c r="J16" i="7"/>
  <c r="J47" i="7" s="1"/>
  <c r="I16" i="7"/>
  <c r="I59" i="7" s="1"/>
  <c r="H16" i="7"/>
  <c r="H47" i="7" s="1"/>
  <c r="G16" i="7"/>
  <c r="G59" i="7" s="1"/>
  <c r="F16" i="7"/>
  <c r="F59" i="7" s="1"/>
  <c r="E16" i="7"/>
  <c r="E59" i="7" s="1"/>
  <c r="D16" i="7"/>
  <c r="C16" i="7"/>
  <c r="J15" i="7"/>
  <c r="J58" i="7" s="1"/>
  <c r="I15" i="7"/>
  <c r="I46" i="7" s="1"/>
  <c r="H15" i="7"/>
  <c r="H46" i="7" s="1"/>
  <c r="G15" i="7"/>
  <c r="G46" i="7" s="1"/>
  <c r="F15" i="7"/>
  <c r="F58" i="7" s="1"/>
  <c r="E15" i="7"/>
  <c r="E58" i="7" s="1"/>
  <c r="D15" i="7"/>
  <c r="D58" i="7" s="1"/>
  <c r="C15" i="7"/>
  <c r="C58" i="7" s="1"/>
  <c r="J14" i="7"/>
  <c r="I14" i="7"/>
  <c r="I57" i="7" s="1"/>
  <c r="H14" i="7"/>
  <c r="H45" i="7" s="1"/>
  <c r="G14" i="7"/>
  <c r="G57" i="7" s="1"/>
  <c r="F14" i="7"/>
  <c r="E14" i="7"/>
  <c r="E45" i="7" s="1"/>
  <c r="D14" i="7"/>
  <c r="D57" i="7" s="1"/>
  <c r="C14" i="7"/>
  <c r="C45" i="7" s="1"/>
  <c r="J13" i="7"/>
  <c r="J44" i="7" s="1"/>
  <c r="I13" i="7"/>
  <c r="I56" i="7" s="1"/>
  <c r="H13" i="7"/>
  <c r="H56" i="7" s="1"/>
  <c r="G13" i="7"/>
  <c r="G56" i="7" s="1"/>
  <c r="F13" i="7"/>
  <c r="F44" i="7" s="1"/>
  <c r="E13" i="7"/>
  <c r="E56" i="7" s="1"/>
  <c r="D13" i="7"/>
  <c r="D44" i="7" s="1"/>
  <c r="C13" i="7"/>
  <c r="C56" i="7" s="1"/>
  <c r="J8" i="7"/>
  <c r="I8" i="7"/>
  <c r="H8" i="7"/>
  <c r="G8" i="7"/>
  <c r="F8" i="7"/>
  <c r="E8" i="7"/>
  <c r="D8" i="7"/>
  <c r="C8" i="7"/>
  <c r="J7" i="7"/>
  <c r="I7" i="7"/>
  <c r="H7" i="7"/>
  <c r="G7" i="7"/>
  <c r="F7" i="7"/>
  <c r="E7" i="7"/>
  <c r="D7" i="7"/>
  <c r="C7" i="7"/>
  <c r="J6" i="7"/>
  <c r="I6" i="7"/>
  <c r="H6" i="7"/>
  <c r="G6" i="7"/>
  <c r="F6" i="7"/>
  <c r="E6" i="7"/>
  <c r="D6" i="7"/>
  <c r="C6" i="7"/>
  <c r="J5" i="7"/>
  <c r="I5" i="7"/>
  <c r="H5" i="7"/>
  <c r="G5" i="7"/>
  <c r="F5" i="7"/>
  <c r="E5" i="7"/>
  <c r="D5" i="7"/>
  <c r="C5" i="7"/>
  <c r="J4" i="7"/>
  <c r="I4" i="7"/>
  <c r="H4" i="7"/>
  <c r="G4" i="7"/>
  <c r="F4" i="7"/>
  <c r="E4" i="7"/>
  <c r="D4" i="7"/>
  <c r="C4" i="7"/>
  <c r="J3" i="7"/>
  <c r="I3" i="7"/>
  <c r="H3" i="7"/>
  <c r="G3" i="7"/>
  <c r="F3" i="7"/>
  <c r="E3" i="7"/>
  <c r="D3" i="7"/>
  <c r="C3" i="7"/>
  <c r="J59" i="7"/>
  <c r="D79" i="16"/>
  <c r="E79" i="16"/>
  <c r="F79" i="16"/>
  <c r="G79" i="16"/>
  <c r="H79" i="16"/>
  <c r="I79" i="16"/>
  <c r="J79" i="16"/>
  <c r="C79" i="16"/>
  <c r="D67" i="16"/>
  <c r="H67" i="16"/>
  <c r="I67" i="16"/>
  <c r="H111" i="30"/>
  <c r="I111" i="30"/>
  <c r="E110" i="30"/>
  <c r="F110" i="30"/>
  <c r="G110" i="30"/>
  <c r="H110" i="30"/>
  <c r="I110" i="30"/>
  <c r="D109" i="30"/>
  <c r="E109" i="30"/>
  <c r="F109" i="30"/>
  <c r="G109" i="30"/>
  <c r="H109" i="30"/>
  <c r="I109" i="30"/>
  <c r="C108" i="30"/>
  <c r="D108" i="30"/>
  <c r="E108" i="30"/>
  <c r="F108" i="30"/>
  <c r="G108" i="30"/>
  <c r="H108" i="30"/>
  <c r="I108" i="30"/>
  <c r="C107" i="30"/>
  <c r="D107" i="30"/>
  <c r="E107" i="30"/>
  <c r="F107" i="30"/>
  <c r="G107" i="30"/>
  <c r="H107" i="30"/>
  <c r="I107" i="30"/>
  <c r="C106" i="30"/>
  <c r="D106" i="30"/>
  <c r="E106" i="30"/>
  <c r="F106" i="30"/>
  <c r="G106" i="30"/>
  <c r="H106" i="30"/>
  <c r="I106" i="30"/>
  <c r="B107" i="30"/>
  <c r="B108" i="30"/>
  <c r="B106" i="30"/>
  <c r="C70" i="1"/>
  <c r="D70" i="1"/>
  <c r="E70" i="1"/>
  <c r="F70" i="1"/>
  <c r="G70" i="1"/>
  <c r="H70" i="1"/>
  <c r="I70" i="1"/>
  <c r="B70" i="1"/>
  <c r="C69" i="1"/>
  <c r="D69" i="1"/>
  <c r="E69" i="1"/>
  <c r="F69" i="1"/>
  <c r="G69" i="1"/>
  <c r="H69" i="1"/>
  <c r="I69" i="1"/>
  <c r="B69" i="1"/>
  <c r="C68" i="1"/>
  <c r="D68" i="1"/>
  <c r="E68" i="1"/>
  <c r="F68" i="1"/>
  <c r="G68" i="1"/>
  <c r="H68" i="1"/>
  <c r="I68" i="1"/>
  <c r="B68" i="1"/>
  <c r="C67" i="1"/>
  <c r="D67" i="1"/>
  <c r="E67" i="1"/>
  <c r="F67" i="1"/>
  <c r="G67" i="1"/>
  <c r="H67" i="1"/>
  <c r="I67" i="1"/>
  <c r="B67" i="1"/>
  <c r="C66" i="1"/>
  <c r="D66" i="1"/>
  <c r="E66" i="1"/>
  <c r="F66" i="1"/>
  <c r="G66" i="1"/>
  <c r="H66" i="1"/>
  <c r="I66" i="1"/>
  <c r="B66" i="1"/>
  <c r="C65" i="1"/>
  <c r="D65" i="1"/>
  <c r="E65" i="1"/>
  <c r="F65" i="1"/>
  <c r="G65" i="1"/>
  <c r="H65" i="1"/>
  <c r="I65" i="1"/>
  <c r="B65" i="1"/>
  <c r="I97" i="30"/>
  <c r="H97" i="30"/>
  <c r="G97" i="30"/>
  <c r="F97" i="30"/>
  <c r="E97" i="30"/>
  <c r="D97" i="30"/>
  <c r="C97" i="30"/>
  <c r="B97" i="30"/>
  <c r="H77" i="21"/>
  <c r="I77" i="21"/>
  <c r="E76" i="21"/>
  <c r="F76" i="21"/>
  <c r="G76" i="21"/>
  <c r="H76" i="21"/>
  <c r="I76" i="21"/>
  <c r="D75" i="21"/>
  <c r="E75" i="21"/>
  <c r="F75" i="21"/>
  <c r="G75" i="21"/>
  <c r="H75" i="21"/>
  <c r="I75" i="21"/>
  <c r="C74" i="21"/>
  <c r="D74" i="21"/>
  <c r="E74" i="21"/>
  <c r="F74" i="21"/>
  <c r="G74" i="21"/>
  <c r="H74" i="21"/>
  <c r="I74" i="21"/>
  <c r="C73" i="21"/>
  <c r="D73" i="21"/>
  <c r="E73" i="21"/>
  <c r="F73" i="21"/>
  <c r="G73" i="21"/>
  <c r="H73" i="21"/>
  <c r="I73" i="21"/>
  <c r="B73" i="21"/>
  <c r="B74" i="21"/>
  <c r="C72" i="21"/>
  <c r="D72" i="21"/>
  <c r="E72" i="21"/>
  <c r="F72" i="21"/>
  <c r="G72" i="21"/>
  <c r="H72" i="21"/>
  <c r="I72" i="21"/>
  <c r="H64" i="21"/>
  <c r="I64" i="21"/>
  <c r="E63" i="21"/>
  <c r="F63" i="21"/>
  <c r="G63" i="21"/>
  <c r="H63" i="21"/>
  <c r="I63" i="21"/>
  <c r="D62" i="21"/>
  <c r="E62" i="21"/>
  <c r="F62" i="21"/>
  <c r="G62" i="21"/>
  <c r="H62" i="21"/>
  <c r="I62" i="21"/>
  <c r="C61" i="21"/>
  <c r="D61" i="21"/>
  <c r="E61" i="21"/>
  <c r="F61" i="21"/>
  <c r="G61" i="21"/>
  <c r="H61" i="21"/>
  <c r="I61" i="21"/>
  <c r="C60" i="21"/>
  <c r="D60" i="21"/>
  <c r="E60" i="21"/>
  <c r="F60" i="21"/>
  <c r="G60" i="21"/>
  <c r="H60" i="21"/>
  <c r="I60" i="21"/>
  <c r="B60" i="21"/>
  <c r="C59" i="21"/>
  <c r="D59" i="21"/>
  <c r="E59" i="21"/>
  <c r="F59" i="21"/>
  <c r="H59" i="21"/>
  <c r="I59" i="21"/>
  <c r="H88" i="19"/>
  <c r="I88" i="19"/>
  <c r="E87" i="19"/>
  <c r="F87" i="19"/>
  <c r="G87" i="19"/>
  <c r="H87" i="19"/>
  <c r="I87" i="19"/>
  <c r="D86" i="19"/>
  <c r="E86" i="19"/>
  <c r="F86" i="19"/>
  <c r="G86" i="19"/>
  <c r="H86" i="19"/>
  <c r="I86" i="19"/>
  <c r="C85" i="19"/>
  <c r="D85" i="19"/>
  <c r="E85" i="19"/>
  <c r="F85" i="19"/>
  <c r="G85" i="19"/>
  <c r="H85" i="19"/>
  <c r="I85" i="19"/>
  <c r="C84" i="19"/>
  <c r="D84" i="19"/>
  <c r="E84" i="19"/>
  <c r="F84" i="19"/>
  <c r="G84" i="19"/>
  <c r="H84" i="19"/>
  <c r="I84" i="19"/>
  <c r="B84" i="19"/>
  <c r="B85" i="19"/>
  <c r="C83" i="19"/>
  <c r="D83" i="19"/>
  <c r="E83" i="19"/>
  <c r="F83" i="19"/>
  <c r="G83" i="19"/>
  <c r="H83" i="19"/>
  <c r="I83" i="19"/>
  <c r="H76" i="19"/>
  <c r="I76" i="19"/>
  <c r="E75" i="19"/>
  <c r="G75" i="19"/>
  <c r="H75" i="19"/>
  <c r="I75" i="19"/>
  <c r="D74" i="19"/>
  <c r="E74" i="19"/>
  <c r="F74" i="19"/>
  <c r="G74" i="19"/>
  <c r="H74" i="19"/>
  <c r="I74" i="19"/>
  <c r="C73" i="19"/>
  <c r="D73" i="19"/>
  <c r="E73" i="19"/>
  <c r="G73" i="19"/>
  <c r="H73" i="19"/>
  <c r="I73" i="19"/>
  <c r="C72" i="19"/>
  <c r="D72" i="19"/>
  <c r="E72" i="19"/>
  <c r="F72" i="19"/>
  <c r="G72" i="19"/>
  <c r="H72" i="19"/>
  <c r="I72" i="19"/>
  <c r="B72" i="19"/>
  <c r="C71" i="19"/>
  <c r="D71" i="19"/>
  <c r="E71" i="19"/>
  <c r="G71" i="19"/>
  <c r="H71" i="19"/>
  <c r="I71" i="19"/>
  <c r="F60" i="7"/>
  <c r="J48" i="7"/>
  <c r="J46" i="7"/>
  <c r="H123" i="30"/>
  <c r="I123" i="30"/>
  <c r="E122" i="30"/>
  <c r="F122" i="30"/>
  <c r="G122" i="30"/>
  <c r="H122" i="30"/>
  <c r="I122" i="30"/>
  <c r="D121" i="30"/>
  <c r="E121" i="30"/>
  <c r="F121" i="30"/>
  <c r="G121" i="30"/>
  <c r="H121" i="30"/>
  <c r="I121" i="30"/>
  <c r="I120" i="30"/>
  <c r="C120" i="30"/>
  <c r="D120" i="30"/>
  <c r="E120" i="30"/>
  <c r="F120" i="30"/>
  <c r="G120" i="30"/>
  <c r="H120" i="30"/>
  <c r="C119" i="30"/>
  <c r="D119" i="30"/>
  <c r="E119" i="30"/>
  <c r="F119" i="30"/>
  <c r="G119" i="30"/>
  <c r="H119" i="30"/>
  <c r="I119" i="30"/>
  <c r="B119" i="30"/>
  <c r="B120" i="30"/>
  <c r="C118" i="30"/>
  <c r="D118" i="30"/>
  <c r="E118" i="30"/>
  <c r="F118" i="30"/>
  <c r="G118" i="30"/>
  <c r="H118" i="30"/>
  <c r="I118" i="30"/>
  <c r="B118" i="30"/>
  <c r="H84" i="30"/>
  <c r="I84" i="30"/>
  <c r="E83" i="30"/>
  <c r="F83" i="30"/>
  <c r="G83" i="30"/>
  <c r="H83" i="30"/>
  <c r="I83" i="30"/>
  <c r="D82" i="30"/>
  <c r="E82" i="30"/>
  <c r="F82" i="30"/>
  <c r="G82" i="30"/>
  <c r="H82" i="30"/>
  <c r="I82" i="30"/>
  <c r="C81" i="30"/>
  <c r="D81" i="30"/>
  <c r="E81" i="30"/>
  <c r="F81" i="30"/>
  <c r="G81" i="30"/>
  <c r="H81" i="30"/>
  <c r="I81" i="30"/>
  <c r="C80" i="30"/>
  <c r="D80" i="30"/>
  <c r="E80" i="30"/>
  <c r="F80" i="30"/>
  <c r="G80" i="30"/>
  <c r="H80" i="30"/>
  <c r="I80" i="30"/>
  <c r="B80" i="30"/>
  <c r="B81" i="30"/>
  <c r="I79" i="30"/>
  <c r="C79" i="30"/>
  <c r="D79" i="30"/>
  <c r="E79" i="30"/>
  <c r="F79" i="30"/>
  <c r="G79" i="30"/>
  <c r="H79" i="30"/>
  <c r="B79" i="30"/>
  <c r="I70" i="30"/>
  <c r="H70" i="30"/>
  <c r="G70" i="30"/>
  <c r="F70" i="30"/>
  <c r="E70" i="30"/>
  <c r="D70" i="30"/>
  <c r="C70" i="30"/>
  <c r="B70" i="30"/>
  <c r="I55" i="30"/>
  <c r="H55" i="30"/>
  <c r="G55" i="30"/>
  <c r="F55" i="30"/>
  <c r="E55" i="30"/>
  <c r="D55" i="30"/>
  <c r="C55" i="30"/>
  <c r="B55" i="30"/>
  <c r="I40" i="30"/>
  <c r="H40" i="30"/>
  <c r="G40" i="30"/>
  <c r="F40" i="30"/>
  <c r="E40" i="30"/>
  <c r="D40" i="30"/>
  <c r="C40" i="30"/>
  <c r="B40" i="30"/>
  <c r="C40" i="1"/>
  <c r="D40" i="1"/>
  <c r="E40" i="1"/>
  <c r="F40" i="1"/>
  <c r="G40" i="1"/>
  <c r="H40" i="1"/>
  <c r="I40" i="1"/>
  <c r="B40" i="1"/>
  <c r="C39" i="1"/>
  <c r="D39" i="1"/>
  <c r="E39" i="1"/>
  <c r="F39" i="1"/>
  <c r="G39" i="1"/>
  <c r="H39" i="1"/>
  <c r="I39" i="1"/>
  <c r="B39" i="1"/>
  <c r="C38" i="1"/>
  <c r="D38" i="1"/>
  <c r="E38" i="1"/>
  <c r="F38" i="1"/>
  <c r="G38" i="1"/>
  <c r="H38" i="1"/>
  <c r="I38" i="1"/>
  <c r="B38" i="1"/>
  <c r="C37" i="1"/>
  <c r="D37" i="1"/>
  <c r="E37" i="1"/>
  <c r="F37" i="1"/>
  <c r="G37" i="1"/>
  <c r="H37" i="1"/>
  <c r="I37" i="1"/>
  <c r="B37" i="1"/>
  <c r="C36" i="1"/>
  <c r="D36" i="1"/>
  <c r="E36" i="1"/>
  <c r="F36" i="1"/>
  <c r="G36" i="1"/>
  <c r="H36" i="1"/>
  <c r="I36" i="1"/>
  <c r="B36" i="1"/>
  <c r="C35" i="1"/>
  <c r="D35" i="1"/>
  <c r="E35" i="1"/>
  <c r="F35" i="1"/>
  <c r="G35" i="1"/>
  <c r="H35" i="1"/>
  <c r="I35" i="1"/>
  <c r="B35" i="1"/>
  <c r="C30" i="1"/>
  <c r="D30" i="1"/>
  <c r="E30" i="1"/>
  <c r="F30" i="1"/>
  <c r="G30" i="1"/>
  <c r="H30" i="1"/>
  <c r="I30" i="1"/>
  <c r="B30" i="1"/>
  <c r="C29" i="1"/>
  <c r="D29" i="1"/>
  <c r="E29" i="1"/>
  <c r="F29" i="1"/>
  <c r="G29" i="1"/>
  <c r="H29" i="1"/>
  <c r="I29" i="1"/>
  <c r="B29" i="1"/>
  <c r="C28" i="1"/>
  <c r="D28" i="1"/>
  <c r="E28" i="1"/>
  <c r="F28" i="1"/>
  <c r="G28" i="1"/>
  <c r="H28" i="1"/>
  <c r="I28" i="1"/>
  <c r="B28" i="1"/>
  <c r="C27" i="1"/>
  <c r="D27" i="1"/>
  <c r="E27" i="1"/>
  <c r="F27" i="1"/>
  <c r="G27" i="1"/>
  <c r="H27" i="1"/>
  <c r="I27" i="1"/>
  <c r="B27" i="1"/>
  <c r="C26" i="1"/>
  <c r="D26" i="1"/>
  <c r="E26" i="1"/>
  <c r="F26" i="1"/>
  <c r="G26" i="1"/>
  <c r="H26" i="1"/>
  <c r="I26" i="1"/>
  <c r="B26" i="1"/>
  <c r="C25" i="1"/>
  <c r="D25" i="1"/>
  <c r="E25" i="1"/>
  <c r="F25" i="1"/>
  <c r="G25" i="1"/>
  <c r="H25" i="1"/>
  <c r="I25" i="1"/>
  <c r="B25" i="1"/>
  <c r="C20" i="1"/>
  <c r="D20" i="1"/>
  <c r="E20" i="1"/>
  <c r="F20" i="1"/>
  <c r="G20" i="1"/>
  <c r="H20" i="1"/>
  <c r="I20" i="1"/>
  <c r="B20" i="1"/>
  <c r="C19" i="1"/>
  <c r="D19" i="1"/>
  <c r="E19" i="1"/>
  <c r="F19" i="1"/>
  <c r="G19" i="1"/>
  <c r="H19" i="1"/>
  <c r="I19" i="1"/>
  <c r="B19" i="1"/>
  <c r="C18" i="1"/>
  <c r="D18" i="1"/>
  <c r="E18" i="1"/>
  <c r="F18" i="1"/>
  <c r="G18" i="1"/>
  <c r="H18" i="1"/>
  <c r="I18" i="1"/>
  <c r="B18" i="1"/>
  <c r="C17" i="1"/>
  <c r="D17" i="1"/>
  <c r="E17" i="1"/>
  <c r="F17" i="1"/>
  <c r="G17" i="1"/>
  <c r="H17" i="1"/>
  <c r="I17" i="1"/>
  <c r="B17" i="1"/>
  <c r="C16" i="1"/>
  <c r="D16" i="1"/>
  <c r="E16" i="1"/>
  <c r="F16" i="1"/>
  <c r="G16" i="1"/>
  <c r="H16" i="1"/>
  <c r="I16" i="1"/>
  <c r="B16" i="1"/>
  <c r="C15" i="1"/>
  <c r="D15" i="1"/>
  <c r="E15" i="1"/>
  <c r="F15" i="1"/>
  <c r="G15" i="1"/>
  <c r="H15" i="1"/>
  <c r="I15" i="1"/>
  <c r="B15" i="1"/>
  <c r="I50" i="21"/>
  <c r="H50" i="21"/>
  <c r="G50" i="21"/>
  <c r="F50" i="21"/>
  <c r="E50" i="21"/>
  <c r="D50" i="21"/>
  <c r="C50" i="21"/>
  <c r="B50" i="21"/>
  <c r="I20" i="19"/>
  <c r="H20" i="19"/>
  <c r="G20" i="19"/>
  <c r="F20" i="19"/>
  <c r="E20" i="19"/>
  <c r="D20" i="19"/>
  <c r="C20" i="19"/>
  <c r="B20" i="19"/>
  <c r="I35" i="19"/>
  <c r="H35" i="19"/>
  <c r="G35" i="19"/>
  <c r="F35" i="19"/>
  <c r="E35" i="19"/>
  <c r="D35" i="19"/>
  <c r="C35" i="19"/>
  <c r="B35" i="19"/>
  <c r="M100" i="1"/>
  <c r="N100" i="1"/>
  <c r="O100" i="1"/>
  <c r="P100" i="1"/>
  <c r="Q100" i="1"/>
  <c r="R100" i="1"/>
  <c r="S100" i="1"/>
  <c r="L100" i="1"/>
  <c r="M90" i="1"/>
  <c r="N90" i="1"/>
  <c r="O90" i="1"/>
  <c r="P90" i="1"/>
  <c r="Q90" i="1"/>
  <c r="R90" i="1"/>
  <c r="S90" i="1"/>
  <c r="L90" i="1"/>
  <c r="M80" i="1"/>
  <c r="N80" i="1"/>
  <c r="O80" i="1"/>
  <c r="P80" i="1"/>
  <c r="Q80" i="1"/>
  <c r="R80" i="1"/>
  <c r="S80" i="1"/>
  <c r="L80" i="1"/>
  <c r="M60" i="1"/>
  <c r="N60" i="1"/>
  <c r="O60" i="1"/>
  <c r="P60" i="1"/>
  <c r="Q60" i="1"/>
  <c r="R60" i="1"/>
  <c r="S60" i="1"/>
  <c r="L60" i="1"/>
  <c r="M50" i="1"/>
  <c r="N50" i="1"/>
  <c r="O50" i="1"/>
  <c r="P50" i="1"/>
  <c r="Q50" i="1"/>
  <c r="R50" i="1"/>
  <c r="S50" i="1"/>
  <c r="L50" i="1"/>
  <c r="M40" i="1"/>
  <c r="N40" i="1"/>
  <c r="O40" i="1"/>
  <c r="P40" i="1"/>
  <c r="Q40" i="1"/>
  <c r="R40" i="1"/>
  <c r="S40" i="1"/>
  <c r="L40" i="1"/>
  <c r="M20" i="1"/>
  <c r="N20" i="1"/>
  <c r="O20" i="1"/>
  <c r="P20" i="1"/>
  <c r="Q20" i="1"/>
  <c r="R20" i="1"/>
  <c r="S20" i="1"/>
  <c r="L20" i="1"/>
  <c r="M10" i="1"/>
  <c r="N10" i="1"/>
  <c r="O10" i="1"/>
  <c r="P10" i="1"/>
  <c r="Q10" i="1"/>
  <c r="R10" i="1"/>
  <c r="S10" i="1"/>
  <c r="L10" i="1"/>
  <c r="I54" i="16"/>
  <c r="C10" i="1"/>
  <c r="D10" i="1"/>
  <c r="E10" i="1"/>
  <c r="F10" i="1"/>
  <c r="G10" i="1"/>
  <c r="H10" i="1"/>
  <c r="I10" i="1"/>
  <c r="B10" i="1"/>
  <c r="C80" i="1"/>
  <c r="D80" i="1"/>
  <c r="E80" i="1"/>
  <c r="F80" i="1"/>
  <c r="G80" i="1"/>
  <c r="H80" i="1"/>
  <c r="I80" i="1"/>
  <c r="B80" i="1"/>
  <c r="C60" i="1"/>
  <c r="D60" i="1"/>
  <c r="E60" i="1"/>
  <c r="F60" i="1"/>
  <c r="G60" i="1"/>
  <c r="H60" i="1"/>
  <c r="I60" i="1"/>
  <c r="B60" i="1"/>
  <c r="C50" i="1"/>
  <c r="D50" i="1"/>
  <c r="E50" i="1"/>
  <c r="F50" i="1"/>
  <c r="G50" i="1"/>
  <c r="H50" i="1"/>
  <c r="I50" i="1"/>
  <c r="B50" i="1"/>
  <c r="C90" i="1"/>
  <c r="D90" i="1"/>
  <c r="E90" i="1"/>
  <c r="F90" i="1"/>
  <c r="G90" i="1"/>
  <c r="H90" i="1"/>
  <c r="I90" i="1"/>
  <c r="B90" i="1"/>
  <c r="F36" i="29"/>
  <c r="J36" i="29" s="1"/>
  <c r="G36" i="29"/>
  <c r="H36" i="29"/>
  <c r="I36" i="29"/>
  <c r="J29" i="29"/>
  <c r="J30" i="29"/>
  <c r="J31" i="29"/>
  <c r="J32" i="29"/>
  <c r="J34" i="29"/>
  <c r="J35" i="29"/>
  <c r="J37" i="29"/>
  <c r="J39" i="29"/>
  <c r="J40" i="29"/>
  <c r="J41" i="29"/>
  <c r="J42" i="29"/>
  <c r="J43" i="29"/>
  <c r="J28" i="29"/>
  <c r="J5" i="29"/>
  <c r="J6" i="29"/>
  <c r="J7" i="29"/>
  <c r="J8" i="29"/>
  <c r="J9" i="29"/>
  <c r="J10" i="29"/>
  <c r="J11" i="29"/>
  <c r="J12" i="29"/>
  <c r="J13" i="29"/>
  <c r="J16" i="29"/>
  <c r="J17" i="29"/>
  <c r="J18" i="29"/>
  <c r="J19" i="29"/>
  <c r="J22" i="29"/>
  <c r="J23" i="29"/>
  <c r="J24" i="29"/>
  <c r="J25" i="29"/>
  <c r="J4" i="29"/>
  <c r="J26" i="29"/>
  <c r="I24" i="29"/>
  <c r="I32" i="29" s="1"/>
  <c r="H24" i="29"/>
  <c r="H25" i="29" s="1"/>
  <c r="G24" i="29"/>
  <c r="G32" i="29" s="1"/>
  <c r="F24" i="29"/>
  <c r="F25" i="29" s="1"/>
  <c r="S99" i="1"/>
  <c r="M99" i="1"/>
  <c r="N99" i="1"/>
  <c r="O99" i="1"/>
  <c r="P99" i="1"/>
  <c r="Q99" i="1"/>
  <c r="R99" i="1"/>
  <c r="L99" i="1"/>
  <c r="M89" i="1"/>
  <c r="N89" i="1"/>
  <c r="O89" i="1"/>
  <c r="P89" i="1"/>
  <c r="Q89" i="1"/>
  <c r="R89" i="1"/>
  <c r="S89" i="1"/>
  <c r="L89" i="1"/>
  <c r="M79" i="1"/>
  <c r="N79" i="1"/>
  <c r="O79" i="1"/>
  <c r="P79" i="1"/>
  <c r="Q79" i="1"/>
  <c r="R79" i="1"/>
  <c r="S79" i="1"/>
  <c r="L79" i="1"/>
  <c r="M59" i="1"/>
  <c r="N59" i="1"/>
  <c r="O59" i="1"/>
  <c r="P59" i="1"/>
  <c r="Q59" i="1"/>
  <c r="R59" i="1"/>
  <c r="S59" i="1"/>
  <c r="L59" i="1"/>
  <c r="M49" i="1"/>
  <c r="N49" i="1"/>
  <c r="O49" i="1"/>
  <c r="P49" i="1"/>
  <c r="Q49" i="1"/>
  <c r="R49" i="1"/>
  <c r="S49" i="1"/>
  <c r="L49" i="1"/>
  <c r="M39" i="1"/>
  <c r="N39" i="1"/>
  <c r="O39" i="1"/>
  <c r="P39" i="1"/>
  <c r="Q39" i="1"/>
  <c r="R39" i="1"/>
  <c r="S39" i="1"/>
  <c r="L39" i="1"/>
  <c r="M19" i="1"/>
  <c r="N19" i="1"/>
  <c r="O19" i="1"/>
  <c r="P19" i="1"/>
  <c r="Q19" i="1"/>
  <c r="R19" i="1"/>
  <c r="S19" i="1"/>
  <c r="L19" i="1"/>
  <c r="M9" i="1"/>
  <c r="N9" i="1"/>
  <c r="O9" i="1"/>
  <c r="P9" i="1"/>
  <c r="Q9" i="1"/>
  <c r="R9" i="1"/>
  <c r="S9" i="1"/>
  <c r="L9" i="1"/>
  <c r="H53" i="16"/>
  <c r="I53" i="16"/>
  <c r="C9" i="1"/>
  <c r="D9" i="1"/>
  <c r="E9" i="1"/>
  <c r="F9" i="1"/>
  <c r="G9" i="1"/>
  <c r="H9" i="1"/>
  <c r="I9" i="1"/>
  <c r="B9" i="1"/>
  <c r="G79" i="1"/>
  <c r="H79" i="1"/>
  <c r="I79" i="1"/>
  <c r="F79" i="1"/>
  <c r="C79" i="1"/>
  <c r="D79" i="1"/>
  <c r="E79" i="1"/>
  <c r="B79" i="1"/>
  <c r="C59" i="1"/>
  <c r="D59" i="1"/>
  <c r="E59" i="1"/>
  <c r="F59" i="1"/>
  <c r="G59" i="1"/>
  <c r="H59" i="1"/>
  <c r="I59" i="1"/>
  <c r="B59" i="1"/>
  <c r="C49" i="1"/>
  <c r="D49" i="1"/>
  <c r="E49" i="1"/>
  <c r="F49" i="1"/>
  <c r="G49" i="1"/>
  <c r="H49" i="1"/>
  <c r="I49" i="1"/>
  <c r="B49" i="1"/>
  <c r="C89" i="1"/>
  <c r="D89" i="1"/>
  <c r="E89" i="1"/>
  <c r="F89" i="1"/>
  <c r="G89" i="1"/>
  <c r="H89" i="1"/>
  <c r="I89" i="1"/>
  <c r="B89" i="1"/>
  <c r="J7" i="22"/>
  <c r="J34" i="27"/>
  <c r="J35" i="27"/>
  <c r="J36" i="27"/>
  <c r="J37" i="27"/>
  <c r="J39" i="27"/>
  <c r="J40" i="27"/>
  <c r="J41" i="27"/>
  <c r="J42" i="27"/>
  <c r="J43" i="27"/>
  <c r="J29" i="27"/>
  <c r="J30" i="27"/>
  <c r="J31" i="27"/>
  <c r="J32" i="27"/>
  <c r="J28" i="27"/>
  <c r="J5" i="27"/>
  <c r="J6" i="27"/>
  <c r="J7" i="27"/>
  <c r="J8" i="27"/>
  <c r="J9" i="27"/>
  <c r="J11" i="27"/>
  <c r="J12" i="27"/>
  <c r="J13" i="27"/>
  <c r="J14" i="27"/>
  <c r="J16" i="27"/>
  <c r="J17" i="27"/>
  <c r="J18" i="27"/>
  <c r="J19" i="27"/>
  <c r="J20" i="27"/>
  <c r="J21" i="27"/>
  <c r="J22" i="27"/>
  <c r="J23" i="27"/>
  <c r="J24" i="27"/>
  <c r="J25" i="27"/>
  <c r="J4" i="27"/>
  <c r="J26" i="27"/>
  <c r="D36" i="27"/>
  <c r="E36" i="27"/>
  <c r="F36" i="27"/>
  <c r="G36" i="27"/>
  <c r="H36" i="27"/>
  <c r="I36" i="27"/>
  <c r="I24" i="27"/>
  <c r="I32" i="27" s="1"/>
  <c r="H24" i="27"/>
  <c r="H32" i="27" s="1"/>
  <c r="G24" i="27"/>
  <c r="G32" i="27" s="1"/>
  <c r="F24" i="27"/>
  <c r="F32" i="27" s="1"/>
  <c r="E24" i="27"/>
  <c r="E32" i="27" s="1"/>
  <c r="D24" i="27"/>
  <c r="D32" i="27" s="1"/>
  <c r="C24" i="27"/>
  <c r="C32" i="27" s="1"/>
  <c r="J26" i="24"/>
  <c r="J25" i="24"/>
  <c r="J26" i="26"/>
  <c r="J38" i="24"/>
  <c r="J41" i="24"/>
  <c r="J5" i="24"/>
  <c r="J6" i="24"/>
  <c r="J7" i="24"/>
  <c r="J8" i="24"/>
  <c r="J4" i="24"/>
  <c r="M97" i="1"/>
  <c r="N97" i="1"/>
  <c r="O97" i="1"/>
  <c r="P97" i="1"/>
  <c r="Q97" i="1"/>
  <c r="R97" i="1"/>
  <c r="S97" i="1"/>
  <c r="M98" i="1"/>
  <c r="N98" i="1"/>
  <c r="O98" i="1"/>
  <c r="P98" i="1"/>
  <c r="Q98" i="1"/>
  <c r="R98" i="1"/>
  <c r="S98" i="1"/>
  <c r="L98" i="1"/>
  <c r="M88" i="1"/>
  <c r="N88" i="1"/>
  <c r="O88" i="1"/>
  <c r="P88" i="1"/>
  <c r="Q88" i="1"/>
  <c r="R88" i="1"/>
  <c r="S88" i="1"/>
  <c r="L88" i="1"/>
  <c r="M78" i="1"/>
  <c r="N78" i="1"/>
  <c r="O78" i="1"/>
  <c r="P78" i="1"/>
  <c r="Q78" i="1"/>
  <c r="R78" i="1"/>
  <c r="S78" i="1"/>
  <c r="L78" i="1"/>
  <c r="M58" i="1"/>
  <c r="N58" i="1"/>
  <c r="O58" i="1"/>
  <c r="P58" i="1"/>
  <c r="Q58" i="1"/>
  <c r="R58" i="1"/>
  <c r="S58" i="1"/>
  <c r="L58" i="1"/>
  <c r="M48" i="1"/>
  <c r="N48" i="1"/>
  <c r="O48" i="1"/>
  <c r="P48" i="1"/>
  <c r="Q48" i="1"/>
  <c r="R48" i="1"/>
  <c r="S48" i="1"/>
  <c r="L48" i="1"/>
  <c r="M38" i="1"/>
  <c r="N38" i="1"/>
  <c r="O38" i="1"/>
  <c r="P38" i="1"/>
  <c r="Q38" i="1"/>
  <c r="R38" i="1"/>
  <c r="S38" i="1"/>
  <c r="L38" i="1"/>
  <c r="M18" i="1"/>
  <c r="N18" i="1"/>
  <c r="O18" i="1"/>
  <c r="P18" i="1"/>
  <c r="Q18" i="1"/>
  <c r="R18" i="1"/>
  <c r="S18" i="1"/>
  <c r="L18" i="1"/>
  <c r="M8" i="1"/>
  <c r="N8" i="1"/>
  <c r="O8" i="1"/>
  <c r="P8" i="1"/>
  <c r="Q8" i="1"/>
  <c r="R8" i="1"/>
  <c r="S8" i="1"/>
  <c r="L8" i="1"/>
  <c r="H52" i="16"/>
  <c r="I52" i="16"/>
  <c r="B8" i="1"/>
  <c r="G78" i="1"/>
  <c r="H78" i="1"/>
  <c r="I78" i="1"/>
  <c r="F78" i="1"/>
  <c r="C78" i="1"/>
  <c r="D78" i="1"/>
  <c r="E78" i="1"/>
  <c r="B78" i="1"/>
  <c r="C58" i="1"/>
  <c r="D58" i="1"/>
  <c r="E58" i="1"/>
  <c r="F58" i="1"/>
  <c r="G58" i="1"/>
  <c r="H58" i="1"/>
  <c r="I58" i="1"/>
  <c r="B58" i="1"/>
  <c r="C48" i="1"/>
  <c r="D48" i="1"/>
  <c r="E48" i="1"/>
  <c r="F48" i="1"/>
  <c r="G48" i="1"/>
  <c r="H48" i="1"/>
  <c r="I48" i="1"/>
  <c r="B48" i="1"/>
  <c r="C88" i="1"/>
  <c r="D88" i="1"/>
  <c r="E88" i="1"/>
  <c r="F88" i="1"/>
  <c r="G88" i="1"/>
  <c r="H88" i="1"/>
  <c r="I88" i="1"/>
  <c r="B88" i="1"/>
  <c r="J38" i="26"/>
  <c r="J4" i="26"/>
  <c r="J5" i="26"/>
  <c r="J6" i="26"/>
  <c r="J7" i="26"/>
  <c r="J8" i="26"/>
  <c r="J9" i="26"/>
  <c r="J11" i="26"/>
  <c r="J12" i="26"/>
  <c r="J13" i="26"/>
  <c r="J14" i="26"/>
  <c r="J16" i="26"/>
  <c r="J17" i="26"/>
  <c r="J18" i="26"/>
  <c r="J19" i="26"/>
  <c r="J20" i="26"/>
  <c r="J21" i="26"/>
  <c r="J22" i="26"/>
  <c r="J23" i="26"/>
  <c r="J28" i="26"/>
  <c r="J34" i="26"/>
  <c r="J35" i="26"/>
  <c r="J37" i="26"/>
  <c r="J39" i="26"/>
  <c r="J40" i="26"/>
  <c r="J41" i="26"/>
  <c r="J42" i="26"/>
  <c r="J43" i="26"/>
  <c r="C36" i="26"/>
  <c r="D36" i="26"/>
  <c r="E36" i="26"/>
  <c r="F36" i="26"/>
  <c r="G36" i="26"/>
  <c r="H36" i="26"/>
  <c r="I36" i="26"/>
  <c r="I24" i="26"/>
  <c r="I32" i="26" s="1"/>
  <c r="H24" i="26"/>
  <c r="H32" i="26" s="1"/>
  <c r="G24" i="26"/>
  <c r="G32" i="26" s="1"/>
  <c r="F24" i="26"/>
  <c r="F32" i="26" s="1"/>
  <c r="E24" i="26"/>
  <c r="E32" i="26" s="1"/>
  <c r="D24" i="26"/>
  <c r="D32" i="26" s="1"/>
  <c r="C24" i="26"/>
  <c r="C32" i="26" s="1"/>
  <c r="L97" i="1"/>
  <c r="M87" i="1"/>
  <c r="N87" i="1"/>
  <c r="O87" i="1"/>
  <c r="P87" i="1"/>
  <c r="Q87" i="1"/>
  <c r="R87" i="1"/>
  <c r="S87" i="1"/>
  <c r="L87" i="1"/>
  <c r="M77" i="1"/>
  <c r="N77" i="1"/>
  <c r="O77" i="1"/>
  <c r="P77" i="1"/>
  <c r="Q77" i="1"/>
  <c r="R77" i="1"/>
  <c r="S77" i="1"/>
  <c r="L77" i="1"/>
  <c r="M57" i="1"/>
  <c r="N57" i="1"/>
  <c r="O57" i="1"/>
  <c r="P57" i="1"/>
  <c r="Q57" i="1"/>
  <c r="R57" i="1"/>
  <c r="S57" i="1"/>
  <c r="L57" i="1"/>
  <c r="M47" i="1"/>
  <c r="N47" i="1"/>
  <c r="O47" i="1"/>
  <c r="P47" i="1"/>
  <c r="Q47" i="1"/>
  <c r="R47" i="1"/>
  <c r="S47" i="1"/>
  <c r="L47" i="1"/>
  <c r="M37" i="1"/>
  <c r="N37" i="1"/>
  <c r="O37" i="1"/>
  <c r="P37" i="1"/>
  <c r="Q37" i="1"/>
  <c r="R37" i="1"/>
  <c r="S37" i="1"/>
  <c r="L37" i="1"/>
  <c r="M17" i="1"/>
  <c r="N17" i="1"/>
  <c r="O17" i="1"/>
  <c r="P17" i="1"/>
  <c r="Q17" i="1"/>
  <c r="R17" i="1"/>
  <c r="S17" i="1"/>
  <c r="L17" i="1"/>
  <c r="M7" i="1"/>
  <c r="N7" i="1"/>
  <c r="O7" i="1"/>
  <c r="P7" i="1"/>
  <c r="Q7" i="1"/>
  <c r="R7" i="1"/>
  <c r="S7" i="1"/>
  <c r="L7" i="1"/>
  <c r="D51" i="16"/>
  <c r="E51" i="16"/>
  <c r="H51" i="16"/>
  <c r="I51" i="16"/>
  <c r="C7" i="1"/>
  <c r="D7" i="1"/>
  <c r="E7" i="1"/>
  <c r="F7" i="1"/>
  <c r="G7" i="1"/>
  <c r="H7" i="1"/>
  <c r="I7" i="1"/>
  <c r="B7" i="1"/>
  <c r="G77" i="1"/>
  <c r="H77" i="1"/>
  <c r="I77" i="1"/>
  <c r="F77" i="1"/>
  <c r="C77" i="1"/>
  <c r="D77" i="1"/>
  <c r="E77" i="1"/>
  <c r="B77" i="1"/>
  <c r="C57" i="1"/>
  <c r="D57" i="1"/>
  <c r="E57" i="1"/>
  <c r="F57" i="1"/>
  <c r="G57" i="1"/>
  <c r="H57" i="1"/>
  <c r="I57" i="1"/>
  <c r="B57" i="1"/>
  <c r="C47" i="1"/>
  <c r="D47" i="1"/>
  <c r="E47" i="1"/>
  <c r="F47" i="1"/>
  <c r="G47" i="1"/>
  <c r="H47" i="1"/>
  <c r="I47" i="1"/>
  <c r="B47" i="1"/>
  <c r="C87" i="1"/>
  <c r="D87" i="1"/>
  <c r="E87" i="1"/>
  <c r="F87" i="1"/>
  <c r="G87" i="1"/>
  <c r="H87" i="1"/>
  <c r="I87" i="1"/>
  <c r="B87" i="1"/>
  <c r="C36" i="24"/>
  <c r="D36" i="24"/>
  <c r="E36" i="24"/>
  <c r="F36" i="24"/>
  <c r="G36" i="24"/>
  <c r="H36" i="24"/>
  <c r="I36" i="24"/>
  <c r="B36" i="24"/>
  <c r="J43" i="24"/>
  <c r="J42" i="24"/>
  <c r="J40" i="24"/>
  <c r="J39" i="24"/>
  <c r="J37" i="24"/>
  <c r="J35" i="24"/>
  <c r="J28" i="24"/>
  <c r="J23" i="24"/>
  <c r="J22" i="24"/>
  <c r="J21" i="24"/>
  <c r="J19" i="24"/>
  <c r="J18" i="24"/>
  <c r="J17" i="24"/>
  <c r="J16" i="24"/>
  <c r="J14" i="24"/>
  <c r="J13" i="24"/>
  <c r="J12" i="24"/>
  <c r="J11" i="24"/>
  <c r="J9" i="24"/>
  <c r="I24" i="24"/>
  <c r="I32" i="24" s="1"/>
  <c r="H24" i="24"/>
  <c r="H32" i="24" s="1"/>
  <c r="G24" i="24"/>
  <c r="G32" i="24" s="1"/>
  <c r="F24" i="24"/>
  <c r="F32" i="24" s="1"/>
  <c r="E24" i="24"/>
  <c r="E32" i="24" s="1"/>
  <c r="D24" i="24"/>
  <c r="D32" i="24" s="1"/>
  <c r="C24" i="24"/>
  <c r="C32" i="24" s="1"/>
  <c r="B24" i="24"/>
  <c r="B32" i="24" s="1"/>
  <c r="J5" i="23"/>
  <c r="J6" i="23"/>
  <c r="J7" i="23"/>
  <c r="J8" i="23"/>
  <c r="J9" i="23"/>
  <c r="J11" i="23"/>
  <c r="J12" i="23"/>
  <c r="J13" i="23"/>
  <c r="J14" i="23"/>
  <c r="J16" i="23"/>
  <c r="J17" i="23"/>
  <c r="J18" i="23"/>
  <c r="J19" i="23"/>
  <c r="J20" i="23"/>
  <c r="J21" i="23"/>
  <c r="J22" i="23"/>
  <c r="J23" i="23"/>
  <c r="J24" i="23"/>
  <c r="J25" i="23"/>
  <c r="J26" i="23"/>
  <c r="J28" i="23"/>
  <c r="J29" i="23"/>
  <c r="J30" i="23"/>
  <c r="J31" i="23"/>
  <c r="J32" i="23"/>
  <c r="J34" i="23"/>
  <c r="J35" i="23"/>
  <c r="J36" i="23"/>
  <c r="J37" i="23"/>
  <c r="J38" i="23"/>
  <c r="J39" i="23"/>
  <c r="J40" i="23"/>
  <c r="J41" i="23"/>
  <c r="J42" i="23"/>
  <c r="J43" i="23"/>
  <c r="J4" i="23"/>
  <c r="S100" i="30" l="1"/>
  <c r="O100" i="30"/>
  <c r="S43" i="30"/>
  <c r="O43" i="30"/>
  <c r="E92" i="21"/>
  <c r="F75" i="7"/>
  <c r="P100" i="30"/>
  <c r="N73" i="30"/>
  <c r="R73" i="30"/>
  <c r="Q43" i="30"/>
  <c r="M43" i="30"/>
  <c r="O73" i="30"/>
  <c r="S73" i="30"/>
  <c r="P73" i="30"/>
  <c r="M58" i="30"/>
  <c r="Q58" i="30"/>
  <c r="C98" i="30"/>
  <c r="G98" i="30"/>
  <c r="N58" i="30"/>
  <c r="R58" i="30"/>
  <c r="O58" i="30"/>
  <c r="S58" i="30"/>
  <c r="P58" i="30"/>
  <c r="O40" i="30"/>
  <c r="S40" i="30"/>
  <c r="P40" i="30"/>
  <c r="M40" i="30"/>
  <c r="M41" i="30" s="1"/>
  <c r="Q40" i="30"/>
  <c r="R41" i="30" s="1"/>
  <c r="P97" i="30"/>
  <c r="E41" i="30"/>
  <c r="I41" i="30"/>
  <c r="E56" i="30"/>
  <c r="I56" i="30"/>
  <c r="E71" i="30"/>
  <c r="I71" i="30"/>
  <c r="F41" i="30"/>
  <c r="F56" i="30"/>
  <c r="F71" i="30"/>
  <c r="P108" i="21"/>
  <c r="P94" i="21"/>
  <c r="O53" i="21"/>
  <c r="G106" i="21"/>
  <c r="L105" i="21"/>
  <c r="L50" i="21"/>
  <c r="F106" i="21"/>
  <c r="S53" i="21"/>
  <c r="L91" i="21"/>
  <c r="M91" i="21"/>
  <c r="M92" i="21" s="1"/>
  <c r="N53" i="21"/>
  <c r="R53" i="21"/>
  <c r="Q91" i="21"/>
  <c r="D106" i="21"/>
  <c r="H106" i="21"/>
  <c r="P105" i="21"/>
  <c r="P50" i="21"/>
  <c r="F92" i="21"/>
  <c r="J48" i="19"/>
  <c r="N23" i="19"/>
  <c r="R23" i="19"/>
  <c r="O38" i="19"/>
  <c r="J46" i="19"/>
  <c r="Q20" i="19"/>
  <c r="M20" i="19"/>
  <c r="M21" i="19" s="1"/>
  <c r="L35" i="19"/>
  <c r="M35" i="19"/>
  <c r="J45" i="19"/>
  <c r="J44" i="19"/>
  <c r="J50" i="19"/>
  <c r="J47" i="19"/>
  <c r="L20" i="19"/>
  <c r="S62" i="19"/>
  <c r="O62" i="19"/>
  <c r="R20" i="19"/>
  <c r="N20" i="19"/>
  <c r="Q35" i="19"/>
  <c r="R62" i="19"/>
  <c r="R63" i="19" s="1"/>
  <c r="N62" i="19"/>
  <c r="N63" i="19" s="1"/>
  <c r="Q62" i="19"/>
  <c r="M62" i="19"/>
  <c r="P62" i="19"/>
  <c r="P63" i="19" s="1"/>
  <c r="Q28" i="16"/>
  <c r="P40" i="16"/>
  <c r="Q13" i="16"/>
  <c r="T13" i="16"/>
  <c r="P13" i="16"/>
  <c r="R13" i="16"/>
  <c r="R25" i="16"/>
  <c r="N25" i="16"/>
  <c r="T25" i="16"/>
  <c r="P25" i="16"/>
  <c r="M40" i="16"/>
  <c r="N40" i="16"/>
  <c r="N41" i="16" s="1"/>
  <c r="M10" i="16"/>
  <c r="Q10" i="16"/>
  <c r="Q25" i="16"/>
  <c r="Q26" i="16" s="1"/>
  <c r="M25" i="16"/>
  <c r="S25" i="16"/>
  <c r="S26" i="16" s="1"/>
  <c r="O25" i="16"/>
  <c r="O40" i="16"/>
  <c r="R40" i="16"/>
  <c r="R10" i="16"/>
  <c r="R11" i="16" s="1"/>
  <c r="N10" i="16"/>
  <c r="Q40" i="16"/>
  <c r="T10" i="16"/>
  <c r="P10" i="16"/>
  <c r="T40" i="16"/>
  <c r="S40" i="16"/>
  <c r="S10" i="16"/>
  <c r="O10" i="16"/>
  <c r="O11" i="16" s="1"/>
  <c r="C41" i="30"/>
  <c r="G41" i="30"/>
  <c r="C56" i="30"/>
  <c r="G56" i="30"/>
  <c r="G71" i="30"/>
  <c r="D56" i="30"/>
  <c r="H56" i="30"/>
  <c r="L70" i="30"/>
  <c r="R70" i="30"/>
  <c r="N70" i="30"/>
  <c r="M70" i="30"/>
  <c r="P70" i="30"/>
  <c r="L40" i="30"/>
  <c r="P55" i="30"/>
  <c r="S55" i="30"/>
  <c r="O55" i="30"/>
  <c r="S70" i="30"/>
  <c r="S71" i="30" s="1"/>
  <c r="O70" i="30"/>
  <c r="O71" i="30" s="1"/>
  <c r="L97" i="30"/>
  <c r="R41" i="16"/>
  <c r="D41" i="30"/>
  <c r="H41" i="30"/>
  <c r="D71" i="30"/>
  <c r="H71" i="30"/>
  <c r="D98" i="30"/>
  <c r="H98" i="30"/>
  <c r="R55" i="30"/>
  <c r="N55" i="30"/>
  <c r="Q55" i="30"/>
  <c r="M55" i="30"/>
  <c r="R97" i="30"/>
  <c r="N97" i="30"/>
  <c r="Q97" i="30"/>
  <c r="Q98" i="30" s="1"/>
  <c r="M97" i="30"/>
  <c r="E98" i="30"/>
  <c r="I98" i="30"/>
  <c r="N40" i="30"/>
  <c r="R40" i="30"/>
  <c r="Q70" i="30"/>
  <c r="S97" i="30"/>
  <c r="O97" i="30"/>
  <c r="P98" i="30" s="1"/>
  <c r="C71" i="30"/>
  <c r="L55" i="30"/>
  <c r="G92" i="21"/>
  <c r="S91" i="21"/>
  <c r="O91" i="21"/>
  <c r="P91" i="21"/>
  <c r="S105" i="21"/>
  <c r="O105" i="21"/>
  <c r="R105" i="21"/>
  <c r="N105" i="21"/>
  <c r="Q105" i="21"/>
  <c r="Q106" i="21" s="1"/>
  <c r="M105" i="21"/>
  <c r="S50" i="21"/>
  <c r="O50" i="21"/>
  <c r="R50" i="21"/>
  <c r="N50" i="21"/>
  <c r="Q50" i="21"/>
  <c r="Q51" i="21" s="1"/>
  <c r="M50" i="21"/>
  <c r="R91" i="21"/>
  <c r="N91" i="21"/>
  <c r="N92" i="21" s="1"/>
  <c r="R35" i="19"/>
  <c r="R36" i="19" s="1"/>
  <c r="S20" i="19"/>
  <c r="O20" i="19"/>
  <c r="O21" i="19" s="1"/>
  <c r="N35" i="19"/>
  <c r="S35" i="19"/>
  <c r="S36" i="19" s="1"/>
  <c r="O35" i="19"/>
  <c r="P35" i="19"/>
  <c r="P20" i="19"/>
  <c r="P21" i="19" s="1"/>
  <c r="D75" i="7"/>
  <c r="T74" i="7"/>
  <c r="P74" i="7"/>
  <c r="S74" i="7"/>
  <c r="S75" i="7" s="1"/>
  <c r="O74" i="7"/>
  <c r="R74" i="7"/>
  <c r="N74" i="7"/>
  <c r="R75" i="7"/>
  <c r="P26" i="16"/>
  <c r="M106" i="21"/>
  <c r="Q75" i="7"/>
  <c r="L62" i="19"/>
  <c r="M63" i="19" s="1"/>
  <c r="N21" i="19"/>
  <c r="R21" i="19"/>
  <c r="P41" i="16"/>
  <c r="Q41" i="16"/>
  <c r="R26" i="16"/>
  <c r="Q11" i="16"/>
  <c r="C9" i="31"/>
  <c r="D9" i="31"/>
  <c r="F98" i="30"/>
  <c r="C106" i="21"/>
  <c r="C92" i="21"/>
  <c r="J61" i="21"/>
  <c r="G51" i="21"/>
  <c r="H51" i="21"/>
  <c r="E51" i="21"/>
  <c r="I51" i="21"/>
  <c r="C51" i="21"/>
  <c r="D51" i="21"/>
  <c r="F51" i="21"/>
  <c r="F9" i="31"/>
  <c r="I63" i="19"/>
  <c r="C63" i="19"/>
  <c r="G63" i="19"/>
  <c r="D63" i="19"/>
  <c r="H63" i="19"/>
  <c r="E63" i="19"/>
  <c r="F63" i="19"/>
  <c r="D36" i="19"/>
  <c r="H36" i="19"/>
  <c r="D21" i="19"/>
  <c r="H21" i="19"/>
  <c r="E36" i="19"/>
  <c r="I36" i="19"/>
  <c r="E21" i="19"/>
  <c r="I21" i="19"/>
  <c r="F36" i="19"/>
  <c r="F21" i="19"/>
  <c r="C36" i="19"/>
  <c r="G36" i="19"/>
  <c r="C21" i="19"/>
  <c r="G21" i="19"/>
  <c r="G75" i="7"/>
  <c r="I49" i="7"/>
  <c r="F47" i="7"/>
  <c r="K62" i="7"/>
  <c r="F56" i="7"/>
  <c r="H57" i="7"/>
  <c r="H8" i="31"/>
  <c r="H4" i="31"/>
  <c r="H7" i="31"/>
  <c r="H6" i="31"/>
  <c r="H5" i="31"/>
  <c r="H3" i="31"/>
  <c r="G9" i="31"/>
  <c r="E9" i="31"/>
  <c r="J120" i="21"/>
  <c r="J77" i="19"/>
  <c r="H58" i="7"/>
  <c r="H59" i="7"/>
  <c r="D56" i="7"/>
  <c r="H60" i="7"/>
  <c r="F46" i="7"/>
  <c r="J56" i="7"/>
  <c r="K79" i="16"/>
  <c r="I45" i="7"/>
  <c r="I48" i="7"/>
  <c r="E57" i="7"/>
  <c r="I58" i="7"/>
  <c r="E46" i="7"/>
  <c r="J85" i="30"/>
  <c r="J124" i="30"/>
  <c r="J111" i="30"/>
  <c r="J109" i="30"/>
  <c r="K67" i="16"/>
  <c r="H44" i="7"/>
  <c r="D45" i="7"/>
  <c r="D46" i="7"/>
  <c r="C57" i="7"/>
  <c r="G45" i="7"/>
  <c r="F57" i="7"/>
  <c r="J57" i="7"/>
  <c r="J61" i="7"/>
  <c r="I44" i="7"/>
  <c r="E44" i="7"/>
  <c r="J45" i="7"/>
  <c r="F45" i="7"/>
  <c r="I47" i="7"/>
  <c r="E47" i="7"/>
  <c r="J49" i="7"/>
  <c r="G48" i="7"/>
  <c r="G58" i="7"/>
  <c r="C44" i="7"/>
  <c r="G44" i="7"/>
  <c r="C46" i="7"/>
  <c r="G47" i="7"/>
  <c r="J108" i="30"/>
  <c r="J110" i="30"/>
  <c r="J107" i="30"/>
  <c r="J106" i="30"/>
  <c r="J84" i="30"/>
  <c r="J121" i="30"/>
  <c r="J122" i="30"/>
  <c r="J123" i="30"/>
  <c r="J82" i="30"/>
  <c r="J120" i="30"/>
  <c r="J83" i="30"/>
  <c r="J119" i="30"/>
  <c r="J81" i="30"/>
  <c r="J79" i="30"/>
  <c r="J80" i="30"/>
  <c r="J118" i="30"/>
  <c r="F31" i="29"/>
  <c r="F29" i="29"/>
  <c r="H31" i="29"/>
  <c r="H29" i="29"/>
  <c r="G30" i="29"/>
  <c r="I30" i="29"/>
  <c r="G25" i="29"/>
  <c r="I25" i="29"/>
  <c r="F32" i="29"/>
  <c r="H32" i="29"/>
  <c r="F30" i="29"/>
  <c r="H30" i="29"/>
  <c r="D30" i="27"/>
  <c r="C30" i="27"/>
  <c r="F30" i="27"/>
  <c r="H30" i="27"/>
  <c r="E30" i="27"/>
  <c r="G30" i="27"/>
  <c r="I30" i="27"/>
  <c r="C25" i="27"/>
  <c r="D25" i="27"/>
  <c r="E25" i="27"/>
  <c r="F25" i="27"/>
  <c r="G25" i="27"/>
  <c r="H25" i="27"/>
  <c r="I25" i="27"/>
  <c r="J32" i="26"/>
  <c r="J36" i="26"/>
  <c r="J24" i="26"/>
  <c r="C30" i="26"/>
  <c r="D30" i="26"/>
  <c r="E30" i="26"/>
  <c r="F30" i="26"/>
  <c r="G30" i="26"/>
  <c r="H30" i="26"/>
  <c r="I30" i="26"/>
  <c r="C25" i="26"/>
  <c r="C8" i="1" s="1"/>
  <c r="D25" i="26"/>
  <c r="D8" i="1" s="1"/>
  <c r="E25" i="26"/>
  <c r="E8" i="1" s="1"/>
  <c r="F25" i="26"/>
  <c r="F8" i="1" s="1"/>
  <c r="G25" i="26"/>
  <c r="G8" i="1" s="1"/>
  <c r="H25" i="26"/>
  <c r="H8" i="1" s="1"/>
  <c r="I25" i="26"/>
  <c r="I8" i="1" s="1"/>
  <c r="J32" i="24"/>
  <c r="J24" i="24"/>
  <c r="B25" i="24"/>
  <c r="C25" i="24"/>
  <c r="D25" i="24"/>
  <c r="E25" i="24"/>
  <c r="F25" i="24"/>
  <c r="G25" i="24"/>
  <c r="H25" i="24"/>
  <c r="I25" i="24"/>
  <c r="B30" i="24"/>
  <c r="C30" i="24"/>
  <c r="D30" i="24"/>
  <c r="E30" i="24"/>
  <c r="F30" i="24"/>
  <c r="G30" i="24"/>
  <c r="H30" i="24"/>
  <c r="I30" i="24"/>
  <c r="M96" i="1"/>
  <c r="N96" i="1"/>
  <c r="O96" i="1"/>
  <c r="P96" i="1"/>
  <c r="Q96" i="1"/>
  <c r="R96" i="1"/>
  <c r="S96" i="1"/>
  <c r="L96" i="1"/>
  <c r="M95" i="1"/>
  <c r="N95" i="1"/>
  <c r="O95" i="1"/>
  <c r="P95" i="1"/>
  <c r="Q95" i="1"/>
  <c r="R95" i="1"/>
  <c r="S95" i="1"/>
  <c r="L95" i="1"/>
  <c r="M76" i="1"/>
  <c r="N76" i="1"/>
  <c r="O76" i="1"/>
  <c r="P76" i="1"/>
  <c r="Q76" i="1"/>
  <c r="R76" i="1"/>
  <c r="S76" i="1"/>
  <c r="L76" i="1"/>
  <c r="M16" i="1"/>
  <c r="N16" i="1"/>
  <c r="O16" i="1"/>
  <c r="P16" i="1"/>
  <c r="Q16" i="1"/>
  <c r="R16" i="1"/>
  <c r="S16" i="1"/>
  <c r="L16" i="1"/>
  <c r="F62" i="16"/>
  <c r="G62" i="16"/>
  <c r="I62" i="16"/>
  <c r="J62" i="16"/>
  <c r="C62" i="16"/>
  <c r="D50" i="16"/>
  <c r="E50" i="16"/>
  <c r="F50" i="16"/>
  <c r="G50" i="16"/>
  <c r="H50" i="16"/>
  <c r="I50" i="16"/>
  <c r="J50" i="16"/>
  <c r="C50" i="16"/>
  <c r="M86" i="1"/>
  <c r="N86" i="1"/>
  <c r="O86" i="1"/>
  <c r="P86" i="1"/>
  <c r="Q86" i="1"/>
  <c r="R86" i="1"/>
  <c r="S86" i="1"/>
  <c r="L86" i="1"/>
  <c r="G76" i="1"/>
  <c r="H76" i="1"/>
  <c r="I76" i="1"/>
  <c r="F76" i="1"/>
  <c r="C76" i="1"/>
  <c r="D76" i="1"/>
  <c r="E76" i="1"/>
  <c r="B76" i="1"/>
  <c r="C56" i="1"/>
  <c r="D56" i="1"/>
  <c r="E56" i="1"/>
  <c r="F56" i="1"/>
  <c r="G56" i="1"/>
  <c r="H56" i="1"/>
  <c r="I56" i="1"/>
  <c r="B56" i="1"/>
  <c r="M56" i="1"/>
  <c r="N56" i="1"/>
  <c r="O56" i="1"/>
  <c r="P56" i="1"/>
  <c r="Q56" i="1"/>
  <c r="R56" i="1"/>
  <c r="S56" i="1"/>
  <c r="L56" i="1"/>
  <c r="M46" i="1"/>
  <c r="N46" i="1"/>
  <c r="O46" i="1"/>
  <c r="P46" i="1"/>
  <c r="Q46" i="1"/>
  <c r="R46" i="1"/>
  <c r="S46" i="1"/>
  <c r="L46" i="1"/>
  <c r="M36" i="1"/>
  <c r="N36" i="1"/>
  <c r="O36" i="1"/>
  <c r="P36" i="1"/>
  <c r="Q36" i="1"/>
  <c r="R36" i="1"/>
  <c r="S36" i="1"/>
  <c r="L36" i="1"/>
  <c r="M6" i="1"/>
  <c r="N6" i="1"/>
  <c r="O6" i="1"/>
  <c r="P6" i="1"/>
  <c r="Q6" i="1"/>
  <c r="R6" i="1"/>
  <c r="S6" i="1"/>
  <c r="L6" i="1"/>
  <c r="C46" i="1"/>
  <c r="D46" i="1"/>
  <c r="E46" i="1"/>
  <c r="F46" i="1"/>
  <c r="G46" i="1"/>
  <c r="H46" i="1"/>
  <c r="I46" i="1"/>
  <c r="B46" i="1"/>
  <c r="C6" i="1"/>
  <c r="D6" i="1"/>
  <c r="E6" i="1"/>
  <c r="F6" i="1"/>
  <c r="G6" i="1"/>
  <c r="H6" i="1"/>
  <c r="I6" i="1"/>
  <c r="B6" i="1"/>
  <c r="C86" i="1"/>
  <c r="D86" i="1"/>
  <c r="E86" i="1"/>
  <c r="F86" i="1"/>
  <c r="G86" i="1"/>
  <c r="H86" i="1"/>
  <c r="I86" i="1"/>
  <c r="B86" i="1"/>
  <c r="C36" i="23"/>
  <c r="D36" i="23"/>
  <c r="E36" i="23"/>
  <c r="F36" i="23"/>
  <c r="G36" i="23"/>
  <c r="H36" i="23"/>
  <c r="I36" i="23"/>
  <c r="B36" i="23"/>
  <c r="I24" i="23"/>
  <c r="I31" i="23" s="1"/>
  <c r="H24" i="23"/>
  <c r="H31" i="23" s="1"/>
  <c r="G24" i="23"/>
  <c r="G31" i="23" s="1"/>
  <c r="F24" i="23"/>
  <c r="F31" i="23" s="1"/>
  <c r="E24" i="23"/>
  <c r="E31" i="23" s="1"/>
  <c r="D24" i="23"/>
  <c r="D31" i="23" s="1"/>
  <c r="C24" i="23"/>
  <c r="C31" i="23" s="1"/>
  <c r="B24" i="23"/>
  <c r="B31" i="23" s="1"/>
  <c r="M75" i="1"/>
  <c r="N75" i="1"/>
  <c r="O75" i="1"/>
  <c r="P75" i="1"/>
  <c r="Q75" i="1"/>
  <c r="R75" i="1"/>
  <c r="S75" i="1"/>
  <c r="L75" i="1"/>
  <c r="M15" i="1"/>
  <c r="N15" i="1"/>
  <c r="O15" i="1"/>
  <c r="P15" i="1"/>
  <c r="Q15" i="1"/>
  <c r="R15" i="1"/>
  <c r="S15" i="1"/>
  <c r="L15" i="1"/>
  <c r="M85" i="1"/>
  <c r="N85" i="1"/>
  <c r="O85" i="1"/>
  <c r="P85" i="1"/>
  <c r="Q85" i="1"/>
  <c r="R85" i="1"/>
  <c r="S85" i="1"/>
  <c r="L85" i="1"/>
  <c r="M55" i="1"/>
  <c r="N55" i="1"/>
  <c r="O55" i="1"/>
  <c r="P55" i="1"/>
  <c r="Q55" i="1"/>
  <c r="R55" i="1"/>
  <c r="S55" i="1"/>
  <c r="L55" i="1"/>
  <c r="M45" i="1"/>
  <c r="N45" i="1"/>
  <c r="O45" i="1"/>
  <c r="P45" i="1"/>
  <c r="Q45" i="1"/>
  <c r="R45" i="1"/>
  <c r="S45" i="1"/>
  <c r="L45" i="1"/>
  <c r="M35" i="1"/>
  <c r="N35" i="1"/>
  <c r="O35" i="1"/>
  <c r="P35" i="1"/>
  <c r="Q35" i="1"/>
  <c r="R35" i="1"/>
  <c r="S35" i="1"/>
  <c r="L35" i="1"/>
  <c r="M5" i="1"/>
  <c r="N5" i="1"/>
  <c r="O5" i="1"/>
  <c r="P5" i="1"/>
  <c r="Q5" i="1"/>
  <c r="R5" i="1"/>
  <c r="S5" i="1"/>
  <c r="L5" i="1"/>
  <c r="G75" i="1"/>
  <c r="H75" i="1"/>
  <c r="I75" i="1"/>
  <c r="F75" i="1"/>
  <c r="C75" i="1"/>
  <c r="D75" i="1"/>
  <c r="E75" i="1"/>
  <c r="B75" i="1"/>
  <c r="C45" i="1"/>
  <c r="D45" i="1"/>
  <c r="E45" i="1"/>
  <c r="F45" i="1"/>
  <c r="G45" i="1"/>
  <c r="H45" i="1"/>
  <c r="I45" i="1"/>
  <c r="B45" i="1"/>
  <c r="C55" i="1"/>
  <c r="D55" i="1"/>
  <c r="E55" i="1"/>
  <c r="F55" i="1"/>
  <c r="G55" i="1"/>
  <c r="H55" i="1"/>
  <c r="I55" i="1"/>
  <c r="B55" i="1"/>
  <c r="G61" i="16"/>
  <c r="D49" i="16"/>
  <c r="E49" i="16"/>
  <c r="F49" i="16"/>
  <c r="G49" i="16"/>
  <c r="H49" i="16"/>
  <c r="I49" i="16"/>
  <c r="J49" i="16"/>
  <c r="C49" i="16"/>
  <c r="H26" i="16"/>
  <c r="D26" i="16"/>
  <c r="C5" i="1"/>
  <c r="D5" i="1"/>
  <c r="E5" i="1"/>
  <c r="F5" i="1"/>
  <c r="G5" i="1"/>
  <c r="H5" i="1"/>
  <c r="I5" i="1"/>
  <c r="B5" i="1"/>
  <c r="D10" i="16"/>
  <c r="E73" i="16"/>
  <c r="H73" i="16"/>
  <c r="I73" i="16"/>
  <c r="C85" i="1"/>
  <c r="D85" i="1"/>
  <c r="E85" i="1"/>
  <c r="F85" i="1"/>
  <c r="G85" i="1"/>
  <c r="H85" i="1"/>
  <c r="I85" i="1"/>
  <c r="B85" i="1"/>
  <c r="J5" i="22"/>
  <c r="J6" i="22"/>
  <c r="J9" i="22"/>
  <c r="J11" i="22"/>
  <c r="J12" i="22"/>
  <c r="J13" i="22"/>
  <c r="J14" i="22"/>
  <c r="J16" i="22"/>
  <c r="J17" i="22"/>
  <c r="J18" i="22"/>
  <c r="J19" i="22"/>
  <c r="J20" i="22"/>
  <c r="J21" i="22"/>
  <c r="J22" i="22"/>
  <c r="J23" i="22"/>
  <c r="J25" i="22"/>
  <c r="J32" i="22"/>
  <c r="J8" i="22"/>
  <c r="J34" i="22"/>
  <c r="J35" i="22"/>
  <c r="J37" i="22"/>
  <c r="J38" i="22"/>
  <c r="J39" i="22"/>
  <c r="J40" i="22"/>
  <c r="J41" i="22"/>
  <c r="J42" i="22"/>
  <c r="J43" i="22"/>
  <c r="J4" i="22"/>
  <c r="I36" i="22"/>
  <c r="H36" i="22"/>
  <c r="G36" i="22"/>
  <c r="F36" i="22"/>
  <c r="E36" i="22"/>
  <c r="D36" i="22"/>
  <c r="C36" i="22"/>
  <c r="B36" i="22"/>
  <c r="I30" i="22"/>
  <c r="H30" i="22"/>
  <c r="G30" i="22"/>
  <c r="F30" i="22"/>
  <c r="E30" i="22"/>
  <c r="D30" i="22"/>
  <c r="C30" i="22"/>
  <c r="B30" i="22"/>
  <c r="I28" i="22"/>
  <c r="J61" i="16" s="1"/>
  <c r="H28" i="22"/>
  <c r="I61" i="16" s="1"/>
  <c r="G28" i="22"/>
  <c r="H61" i="16" s="1"/>
  <c r="F28" i="22"/>
  <c r="E28" i="22"/>
  <c r="F61" i="16" s="1"/>
  <c r="D28" i="22"/>
  <c r="E61" i="16" s="1"/>
  <c r="C28" i="22"/>
  <c r="D61" i="16" s="1"/>
  <c r="B28" i="22"/>
  <c r="I24" i="22"/>
  <c r="I31" i="22" s="1"/>
  <c r="H24" i="22"/>
  <c r="H29" i="22" s="1"/>
  <c r="G24" i="22"/>
  <c r="G31" i="22" s="1"/>
  <c r="F24" i="22"/>
  <c r="F29" i="22" s="1"/>
  <c r="E24" i="22"/>
  <c r="E31" i="22" s="1"/>
  <c r="D24" i="22"/>
  <c r="D29" i="22" s="1"/>
  <c r="C24" i="22"/>
  <c r="C31" i="22" s="1"/>
  <c r="B24" i="22"/>
  <c r="B29" i="22" s="1"/>
  <c r="J77" i="21"/>
  <c r="J76" i="21"/>
  <c r="J73" i="21"/>
  <c r="J72" i="21"/>
  <c r="I66" i="16"/>
  <c r="J66" i="16"/>
  <c r="F65" i="16"/>
  <c r="G65" i="16"/>
  <c r="H65" i="16"/>
  <c r="I65" i="16"/>
  <c r="J65" i="16"/>
  <c r="D63" i="16"/>
  <c r="E63" i="16"/>
  <c r="F63" i="16"/>
  <c r="G63" i="16"/>
  <c r="H63" i="16"/>
  <c r="I63" i="16"/>
  <c r="J63" i="16"/>
  <c r="D62" i="16"/>
  <c r="E62" i="16"/>
  <c r="H62" i="16"/>
  <c r="C63" i="16"/>
  <c r="I78" i="16"/>
  <c r="J78" i="16"/>
  <c r="F77" i="16"/>
  <c r="G77" i="16"/>
  <c r="H77" i="16"/>
  <c r="I77" i="16"/>
  <c r="J77" i="16"/>
  <c r="E76" i="16"/>
  <c r="F76" i="16"/>
  <c r="G76" i="16"/>
  <c r="H76" i="16"/>
  <c r="I76" i="16"/>
  <c r="J76" i="16"/>
  <c r="D75" i="16"/>
  <c r="E75" i="16"/>
  <c r="F75" i="16"/>
  <c r="G75" i="16"/>
  <c r="H75" i="16"/>
  <c r="I75" i="16"/>
  <c r="J75" i="16"/>
  <c r="D74" i="16"/>
  <c r="E74" i="16"/>
  <c r="F74" i="16"/>
  <c r="G74" i="16"/>
  <c r="H74" i="16"/>
  <c r="I74" i="16"/>
  <c r="J74" i="16"/>
  <c r="C75" i="16"/>
  <c r="C74" i="16"/>
  <c r="F73" i="16"/>
  <c r="G73" i="16"/>
  <c r="J73" i="16"/>
  <c r="C73" i="16"/>
  <c r="J40" i="16"/>
  <c r="I40" i="16"/>
  <c r="H40" i="16"/>
  <c r="G40" i="16"/>
  <c r="F40" i="16"/>
  <c r="E40" i="16"/>
  <c r="D40" i="16"/>
  <c r="C40" i="16"/>
  <c r="J10" i="16"/>
  <c r="G10" i="16"/>
  <c r="F10" i="16"/>
  <c r="C10" i="16"/>
  <c r="AA19" i="9"/>
  <c r="AA24" i="9" s="1"/>
  <c r="Z19" i="9"/>
  <c r="Z20" i="9" s="1"/>
  <c r="F19" i="9"/>
  <c r="AG19" i="14"/>
  <c r="AG26" i="14" s="1"/>
  <c r="AF19" i="14"/>
  <c r="AF26" i="14" s="1"/>
  <c r="AE19" i="14"/>
  <c r="AE26" i="14" s="1"/>
  <c r="AD19" i="14"/>
  <c r="AD20" i="14" s="1"/>
  <c r="AC19" i="14"/>
  <c r="AC26" i="14" s="1"/>
  <c r="AB19" i="14"/>
  <c r="AB26" i="14" s="1"/>
  <c r="AA19" i="14"/>
  <c r="AA26" i="14" s="1"/>
  <c r="Z19" i="14"/>
  <c r="Z26" i="14" s="1"/>
  <c r="Y19" i="14"/>
  <c r="Y26" i="14" s="1"/>
  <c r="X19" i="14"/>
  <c r="X26" i="14" s="1"/>
  <c r="W19" i="14"/>
  <c r="W26" i="14" s="1"/>
  <c r="V19" i="14"/>
  <c r="V20" i="14" s="1"/>
  <c r="U19" i="14"/>
  <c r="U26" i="14" s="1"/>
  <c r="T19" i="14"/>
  <c r="T26" i="14" s="1"/>
  <c r="S19" i="14"/>
  <c r="S26" i="14" s="1"/>
  <c r="R19" i="14"/>
  <c r="R26" i="14" s="1"/>
  <c r="Q19" i="14"/>
  <c r="Q26" i="14" s="1"/>
  <c r="P19" i="14"/>
  <c r="P26" i="14" s="1"/>
  <c r="O19" i="14"/>
  <c r="O26" i="14" s="1"/>
  <c r="N19" i="14"/>
  <c r="N20" i="14" s="1"/>
  <c r="M19" i="14"/>
  <c r="M26" i="14" s="1"/>
  <c r="L19" i="14"/>
  <c r="L26" i="14" s="1"/>
  <c r="K19" i="14"/>
  <c r="K26" i="14" s="1"/>
  <c r="J19" i="14"/>
  <c r="J26" i="14" s="1"/>
  <c r="I19" i="14"/>
  <c r="I26" i="14" s="1"/>
  <c r="H19" i="14"/>
  <c r="H26" i="14" s="1"/>
  <c r="G19" i="14"/>
  <c r="G26" i="14" s="1"/>
  <c r="F19" i="14"/>
  <c r="F26" i="14" s="1"/>
  <c r="E19" i="14"/>
  <c r="E26" i="14" s="1"/>
  <c r="D19" i="14"/>
  <c r="D26" i="14" s="1"/>
  <c r="C19" i="14"/>
  <c r="C26" i="14" s="1"/>
  <c r="B19" i="14"/>
  <c r="B26" i="14" s="1"/>
  <c r="M19" i="13"/>
  <c r="M26" i="13" s="1"/>
  <c r="AG19" i="13"/>
  <c r="AG26" i="13" s="1"/>
  <c r="AF19" i="13"/>
  <c r="AF26" i="13" s="1"/>
  <c r="AE19" i="13"/>
  <c r="AE26" i="13" s="1"/>
  <c r="AD19" i="13"/>
  <c r="AD26" i="13" s="1"/>
  <c r="AC19" i="13"/>
  <c r="AC26" i="13" s="1"/>
  <c r="AB19" i="13"/>
  <c r="AB26" i="13" s="1"/>
  <c r="AA19" i="13"/>
  <c r="AA26" i="13" s="1"/>
  <c r="Z19" i="13"/>
  <c r="Z26" i="13" s="1"/>
  <c r="Y19" i="13"/>
  <c r="Y26" i="13" s="1"/>
  <c r="X19" i="13"/>
  <c r="X26" i="13" s="1"/>
  <c r="W19" i="13"/>
  <c r="W26" i="13" s="1"/>
  <c r="V19" i="13"/>
  <c r="V26" i="13" s="1"/>
  <c r="U19" i="13"/>
  <c r="U26" i="13" s="1"/>
  <c r="T19" i="13"/>
  <c r="T26" i="13" s="1"/>
  <c r="S19" i="13"/>
  <c r="S26" i="13" s="1"/>
  <c r="R19" i="13"/>
  <c r="R26" i="13" s="1"/>
  <c r="Q19" i="13"/>
  <c r="Q26" i="13" s="1"/>
  <c r="P19" i="13"/>
  <c r="P26" i="13" s="1"/>
  <c r="O19" i="13"/>
  <c r="O20" i="13" s="1"/>
  <c r="N19" i="13"/>
  <c r="N26" i="13" s="1"/>
  <c r="L19" i="13"/>
  <c r="L26" i="13" s="1"/>
  <c r="K19" i="13"/>
  <c r="K20" i="13" s="1"/>
  <c r="J19" i="13"/>
  <c r="J26" i="13" s="1"/>
  <c r="I19" i="13"/>
  <c r="I26" i="13" s="1"/>
  <c r="AG19" i="12"/>
  <c r="AG26" i="12" s="1"/>
  <c r="AE19" i="12"/>
  <c r="AE26" i="12" s="1"/>
  <c r="AF19" i="12"/>
  <c r="AF26" i="12" s="1"/>
  <c r="AD19" i="12"/>
  <c r="AD26" i="12" s="1"/>
  <c r="AC19" i="12"/>
  <c r="AC26" i="12" s="1"/>
  <c r="AA19" i="12"/>
  <c r="AA26" i="12" s="1"/>
  <c r="AB19" i="12"/>
  <c r="AB26" i="12" s="1"/>
  <c r="Z19" i="12"/>
  <c r="Z26" i="12" s="1"/>
  <c r="Y19" i="12"/>
  <c r="Y26" i="12" s="1"/>
  <c r="W19" i="12"/>
  <c r="W26" i="12" s="1"/>
  <c r="X19" i="12"/>
  <c r="X26" i="12" s="1"/>
  <c r="U19" i="12"/>
  <c r="U26" i="12" s="1"/>
  <c r="V19" i="12"/>
  <c r="V26" i="12" s="1"/>
  <c r="V19" i="9"/>
  <c r="V24" i="9" s="1"/>
  <c r="W19" i="9"/>
  <c r="W24" i="9" s="1"/>
  <c r="X19" i="9"/>
  <c r="X24" i="9" s="1"/>
  <c r="Y19" i="9"/>
  <c r="Y26" i="9" s="1"/>
  <c r="AB19" i="9"/>
  <c r="AB24" i="9" s="1"/>
  <c r="AC19" i="9"/>
  <c r="AC26" i="9" s="1"/>
  <c r="AD19" i="9"/>
  <c r="AD24" i="9" s="1"/>
  <c r="AE19" i="9"/>
  <c r="AE24" i="9" s="1"/>
  <c r="AF19" i="9"/>
  <c r="AF24" i="9" s="1"/>
  <c r="AG19" i="9"/>
  <c r="AG26" i="9" s="1"/>
  <c r="Q19" i="9"/>
  <c r="Q26" i="9" s="1"/>
  <c r="R19" i="9"/>
  <c r="R26" i="9" s="1"/>
  <c r="S19" i="9"/>
  <c r="S24" i="9" s="1"/>
  <c r="T19" i="9"/>
  <c r="T24" i="9" s="1"/>
  <c r="U19" i="9"/>
  <c r="U20" i="9" s="1"/>
  <c r="U25" i="9" s="1"/>
  <c r="L19" i="9"/>
  <c r="L24" i="9" s="1"/>
  <c r="M19" i="9"/>
  <c r="M24" i="9" s="1"/>
  <c r="N19" i="9"/>
  <c r="N24" i="9" s="1"/>
  <c r="O19" i="9"/>
  <c r="O24" i="9" s="1"/>
  <c r="P19" i="9"/>
  <c r="P26" i="9" s="1"/>
  <c r="R18" i="8"/>
  <c r="R20" i="8" s="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B24" i="11"/>
  <c r="B22" i="11"/>
  <c r="C22" i="11"/>
  <c r="D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E22" i="11"/>
  <c r="U18" i="11"/>
  <c r="U25" i="11" s="1"/>
  <c r="V18" i="11"/>
  <c r="V23" i="11" s="1"/>
  <c r="W18" i="11"/>
  <c r="W25" i="11" s="1"/>
  <c r="X18" i="11"/>
  <c r="X25" i="11" s="1"/>
  <c r="Y18" i="11"/>
  <c r="Y25" i="11" s="1"/>
  <c r="Z18" i="11"/>
  <c r="Z23" i="11" s="1"/>
  <c r="AA18" i="11"/>
  <c r="AA25" i="11" s="1"/>
  <c r="AB18" i="11"/>
  <c r="AB25" i="11" s="1"/>
  <c r="AC18" i="11"/>
  <c r="AC25" i="11" s="1"/>
  <c r="AD18" i="11"/>
  <c r="AD23" i="11" s="1"/>
  <c r="AE18" i="11"/>
  <c r="AE25" i="11" s="1"/>
  <c r="AF18" i="11"/>
  <c r="AF25" i="11" s="1"/>
  <c r="AG18" i="11"/>
  <c r="AG23" i="11" s="1"/>
  <c r="S18" i="11"/>
  <c r="S25" i="11" s="1"/>
  <c r="T18" i="11"/>
  <c r="T25" i="11" s="1"/>
  <c r="R18" i="11"/>
  <c r="R23" i="11" s="1"/>
  <c r="Q18" i="11"/>
  <c r="Q23" i="11" s="1"/>
  <c r="P18" i="11"/>
  <c r="P25" i="11" s="1"/>
  <c r="O18" i="11"/>
  <c r="O25" i="11" s="1"/>
  <c r="N18" i="11"/>
  <c r="N25" i="11" s="1"/>
  <c r="M18" i="11"/>
  <c r="M23" i="11" s="1"/>
  <c r="L18" i="11"/>
  <c r="L25" i="11" s="1"/>
  <c r="K18" i="11"/>
  <c r="K25" i="11" s="1"/>
  <c r="J18" i="11"/>
  <c r="J25" i="11" s="1"/>
  <c r="I18" i="11"/>
  <c r="I23" i="11" s="1"/>
  <c r="H18" i="11"/>
  <c r="H25" i="11" s="1"/>
  <c r="G18" i="11"/>
  <c r="G25" i="11" s="1"/>
  <c r="F18" i="11"/>
  <c r="F23" i="11" s="1"/>
  <c r="E18" i="11"/>
  <c r="E25" i="11" s="1"/>
  <c r="D18" i="11"/>
  <c r="D25" i="11" s="1"/>
  <c r="C18" i="11"/>
  <c r="C25" i="11" s="1"/>
  <c r="B18" i="11"/>
  <c r="B23" i="11" s="1"/>
  <c r="K19" i="9"/>
  <c r="K24" i="9" s="1"/>
  <c r="J19" i="9"/>
  <c r="J26" i="9" s="1"/>
  <c r="H19" i="9"/>
  <c r="H26" i="9" s="1"/>
  <c r="I19" i="9"/>
  <c r="I26" i="9" s="1"/>
  <c r="G19" i="9"/>
  <c r="G26" i="9" s="1"/>
  <c r="D19" i="9"/>
  <c r="C19" i="9"/>
  <c r="B19" i="9"/>
  <c r="M18" i="8"/>
  <c r="M20" i="8" s="1"/>
  <c r="N18" i="8"/>
  <c r="N20" i="8" s="1"/>
  <c r="O18" i="8"/>
  <c r="O19" i="8" s="1"/>
  <c r="O25" i="8" s="1"/>
  <c r="P18" i="8"/>
  <c r="P20" i="8" s="1"/>
  <c r="Q18" i="8"/>
  <c r="Q20" i="8" s="1"/>
  <c r="S18" i="8"/>
  <c r="S19" i="8" s="1"/>
  <c r="S23" i="8" s="1"/>
  <c r="T18" i="8"/>
  <c r="T20" i="8" s="1"/>
  <c r="U18" i="8"/>
  <c r="U19" i="8" s="1"/>
  <c r="V18" i="8"/>
  <c r="V26" i="8" s="1"/>
  <c r="W18" i="8"/>
  <c r="W19" i="8" s="1"/>
  <c r="W23" i="8" s="1"/>
  <c r="X18" i="8"/>
  <c r="X20" i="8" s="1"/>
  <c r="Y18" i="8"/>
  <c r="Y20" i="8" s="1"/>
  <c r="Z18" i="8"/>
  <c r="Z20" i="8" s="1"/>
  <c r="AA18" i="8"/>
  <c r="AA19" i="8" s="1"/>
  <c r="AA23" i="8" s="1"/>
  <c r="AB18" i="8"/>
  <c r="AB19" i="8" s="1"/>
  <c r="AB25" i="8" s="1"/>
  <c r="AC18" i="8"/>
  <c r="AC19" i="8" s="1"/>
  <c r="AD18" i="8"/>
  <c r="AD20" i="8" s="1"/>
  <c r="AE18" i="8"/>
  <c r="AE19" i="8" s="1"/>
  <c r="AE25" i="8" s="1"/>
  <c r="AF18" i="8"/>
  <c r="AF19" i="8" s="1"/>
  <c r="AF25" i="8" s="1"/>
  <c r="AG18" i="8"/>
  <c r="AG19" i="8" s="1"/>
  <c r="L18" i="8"/>
  <c r="L19" i="8" s="1"/>
  <c r="L25" i="8" s="1"/>
  <c r="J18" i="8"/>
  <c r="J20" i="8" s="1"/>
  <c r="I18" i="8"/>
  <c r="I19" i="8" s="1"/>
  <c r="I25" i="8" s="1"/>
  <c r="D18" i="8"/>
  <c r="D19" i="8" s="1"/>
  <c r="D25" i="8" s="1"/>
  <c r="E18" i="8"/>
  <c r="E20" i="8" s="1"/>
  <c r="F18" i="8"/>
  <c r="F20" i="8" s="1"/>
  <c r="G18" i="8"/>
  <c r="G19" i="8" s="1"/>
  <c r="G25" i="8" s="1"/>
  <c r="H18" i="8"/>
  <c r="H20" i="8" s="1"/>
  <c r="K18" i="8"/>
  <c r="K19" i="8" s="1"/>
  <c r="K25" i="8" s="1"/>
  <c r="C18" i="8"/>
  <c r="C20" i="8" s="1"/>
  <c r="B18" i="8"/>
  <c r="B19" i="8" s="1"/>
  <c r="B23" i="8" s="1"/>
  <c r="P41" i="30" l="1"/>
  <c r="J5" i="31"/>
  <c r="J3" i="31"/>
  <c r="J6" i="31"/>
  <c r="J7" i="31"/>
  <c r="J4" i="31"/>
  <c r="J8" i="31"/>
  <c r="N41" i="30"/>
  <c r="Q56" i="30"/>
  <c r="Q41" i="30"/>
  <c r="S41" i="30"/>
  <c r="M98" i="30"/>
  <c r="P56" i="30"/>
  <c r="O41" i="30"/>
  <c r="R98" i="30"/>
  <c r="R56" i="30"/>
  <c r="P71" i="30"/>
  <c r="S56" i="30"/>
  <c r="S98" i="30"/>
  <c r="O98" i="30"/>
  <c r="N56" i="30"/>
  <c r="M71" i="30"/>
  <c r="R92" i="21"/>
  <c r="M51" i="21"/>
  <c r="P51" i="21"/>
  <c r="Q92" i="21"/>
  <c r="S51" i="21"/>
  <c r="S92" i="21"/>
  <c r="M36" i="19"/>
  <c r="O63" i="19"/>
  <c r="N36" i="19"/>
  <c r="Q63" i="19"/>
  <c r="Q36" i="19"/>
  <c r="S21" i="19"/>
  <c r="S63" i="19"/>
  <c r="N26" i="16"/>
  <c r="O26" i="16"/>
  <c r="P11" i="16"/>
  <c r="T26" i="16"/>
  <c r="O41" i="16"/>
  <c r="T41" i="16"/>
  <c r="N11" i="16"/>
  <c r="S11" i="16"/>
  <c r="T11" i="16"/>
  <c r="S41" i="16"/>
  <c r="Q71" i="30"/>
  <c r="N71" i="30"/>
  <c r="M56" i="30"/>
  <c r="R106" i="21"/>
  <c r="O106" i="21"/>
  <c r="O92" i="21"/>
  <c r="P36" i="19"/>
  <c r="O75" i="7"/>
  <c r="P75" i="7"/>
  <c r="N75" i="7"/>
  <c r="N51" i="21"/>
  <c r="N98" i="30"/>
  <c r="R71" i="30"/>
  <c r="O56" i="30"/>
  <c r="P92" i="21"/>
  <c r="R51" i="21"/>
  <c r="S106" i="21"/>
  <c r="O51" i="21"/>
  <c r="N106" i="21"/>
  <c r="P106" i="21"/>
  <c r="Q21" i="19"/>
  <c r="O36" i="19"/>
  <c r="T75" i="7"/>
  <c r="H9" i="31"/>
  <c r="J89" i="19"/>
  <c r="K61" i="7"/>
  <c r="J114" i="21"/>
  <c r="J116" i="21"/>
  <c r="J118" i="21"/>
  <c r="J115" i="21"/>
  <c r="J117" i="21"/>
  <c r="J119" i="21"/>
  <c r="J62" i="21"/>
  <c r="J74" i="21"/>
  <c r="J75" i="21"/>
  <c r="J59" i="21"/>
  <c r="J60" i="21"/>
  <c r="J63" i="21"/>
  <c r="J64" i="21"/>
  <c r="K48" i="7"/>
  <c r="K44" i="7"/>
  <c r="K45" i="7"/>
  <c r="K46" i="7"/>
  <c r="K47" i="7"/>
  <c r="K60" i="7"/>
  <c r="K49" i="7"/>
  <c r="K56" i="7"/>
  <c r="K57" i="7"/>
  <c r="K58" i="7"/>
  <c r="K59" i="7"/>
  <c r="K77" i="16"/>
  <c r="K78" i="16"/>
  <c r="K74" i="16"/>
  <c r="K76" i="16"/>
  <c r="K75" i="16"/>
  <c r="I31" i="29"/>
  <c r="I29" i="29"/>
  <c r="G31" i="29"/>
  <c r="G29" i="29"/>
  <c r="I29" i="27"/>
  <c r="I31" i="27"/>
  <c r="H31" i="27"/>
  <c r="H29" i="27"/>
  <c r="D29" i="27"/>
  <c r="D31" i="27"/>
  <c r="F29" i="27"/>
  <c r="F31" i="27"/>
  <c r="E31" i="27"/>
  <c r="E29" i="27"/>
  <c r="G29" i="27"/>
  <c r="G31" i="27"/>
  <c r="C31" i="27"/>
  <c r="C29" i="27"/>
  <c r="J30" i="26"/>
  <c r="J25" i="26"/>
  <c r="I29" i="26"/>
  <c r="I31" i="26"/>
  <c r="J64" i="16" s="1"/>
  <c r="E29" i="26"/>
  <c r="E31" i="26"/>
  <c r="F64" i="16" s="1"/>
  <c r="H29" i="26"/>
  <c r="H31" i="26"/>
  <c r="I64" i="16" s="1"/>
  <c r="D29" i="26"/>
  <c r="D31" i="26"/>
  <c r="E64" i="16" s="1"/>
  <c r="G29" i="26"/>
  <c r="G31" i="26"/>
  <c r="H64" i="16" s="1"/>
  <c r="C29" i="26"/>
  <c r="C31" i="26"/>
  <c r="F29" i="26"/>
  <c r="F31" i="26"/>
  <c r="G64" i="16" s="1"/>
  <c r="J30" i="24"/>
  <c r="I31" i="24"/>
  <c r="I29" i="24"/>
  <c r="H31" i="24"/>
  <c r="H29" i="24"/>
  <c r="D31" i="24"/>
  <c r="D29" i="24"/>
  <c r="E31" i="24"/>
  <c r="E29" i="24"/>
  <c r="G31" i="24"/>
  <c r="G29" i="24"/>
  <c r="C31" i="24"/>
  <c r="C29" i="24"/>
  <c r="F31" i="24"/>
  <c r="F29" i="24"/>
  <c r="B31" i="24"/>
  <c r="B29" i="24"/>
  <c r="AA25" i="8"/>
  <c r="Q26" i="8"/>
  <c r="AE23" i="8"/>
  <c r="O23" i="8"/>
  <c r="B25" i="23"/>
  <c r="C25" i="23"/>
  <c r="D25" i="23"/>
  <c r="E25" i="23"/>
  <c r="F25" i="23"/>
  <c r="G25" i="23"/>
  <c r="H25" i="23"/>
  <c r="I25" i="23"/>
  <c r="B26" i="23"/>
  <c r="C26" i="23"/>
  <c r="D26" i="23"/>
  <c r="E26" i="23"/>
  <c r="F26" i="23"/>
  <c r="G26" i="23"/>
  <c r="H26" i="23"/>
  <c r="I26" i="23"/>
  <c r="B29" i="23"/>
  <c r="C29" i="23"/>
  <c r="D29" i="23"/>
  <c r="E29" i="23"/>
  <c r="F29" i="23"/>
  <c r="G29" i="23"/>
  <c r="H29" i="23"/>
  <c r="I29" i="23"/>
  <c r="K62" i="16"/>
  <c r="K65" i="16"/>
  <c r="K63" i="16"/>
  <c r="K66" i="16"/>
  <c r="K49" i="16"/>
  <c r="D73" i="16"/>
  <c r="H10" i="16"/>
  <c r="H11" i="16" s="1"/>
  <c r="J28" i="22"/>
  <c r="J30" i="22"/>
  <c r="J36" i="22"/>
  <c r="E10" i="16"/>
  <c r="E11" i="16" s="1"/>
  <c r="I10" i="16"/>
  <c r="J24" i="22"/>
  <c r="I26" i="16"/>
  <c r="F26" i="16"/>
  <c r="J26" i="16"/>
  <c r="E26" i="16"/>
  <c r="G26" i="16"/>
  <c r="C26" i="22"/>
  <c r="E26" i="22"/>
  <c r="G26" i="22"/>
  <c r="I26" i="22"/>
  <c r="C29" i="22"/>
  <c r="E29" i="22"/>
  <c r="G29" i="22"/>
  <c r="I29" i="22"/>
  <c r="B31" i="22"/>
  <c r="D31" i="22"/>
  <c r="F31" i="22"/>
  <c r="H31" i="22"/>
  <c r="B26" i="22"/>
  <c r="D26" i="22"/>
  <c r="F26" i="22"/>
  <c r="H26" i="22"/>
  <c r="K52" i="16"/>
  <c r="K54" i="16"/>
  <c r="K53" i="16"/>
  <c r="K51" i="16"/>
  <c r="E41" i="16"/>
  <c r="I41" i="16"/>
  <c r="F41" i="16"/>
  <c r="J41" i="16"/>
  <c r="K50" i="16"/>
  <c r="D41" i="16"/>
  <c r="H41" i="16"/>
  <c r="G41" i="16"/>
  <c r="G11" i="16"/>
  <c r="D11" i="16"/>
  <c r="AA20" i="9"/>
  <c r="AA25" i="9" s="1"/>
  <c r="AA26" i="9"/>
  <c r="Y24" i="9"/>
  <c r="Z19" i="8"/>
  <c r="Z25" i="8" s="1"/>
  <c r="Q24" i="8"/>
  <c r="W25" i="8"/>
  <c r="L26" i="8"/>
  <c r="F19" i="8"/>
  <c r="F23" i="8" s="1"/>
  <c r="L24" i="8"/>
  <c r="S25" i="8"/>
  <c r="B25" i="8"/>
  <c r="AC25" i="8"/>
  <c r="AC23" i="8"/>
  <c r="U25" i="8"/>
  <c r="U23" i="8"/>
  <c r="AG25" i="8"/>
  <c r="AG23" i="8"/>
  <c r="AG24" i="8"/>
  <c r="U24" i="8"/>
  <c r="H24" i="8"/>
  <c r="AG26" i="8"/>
  <c r="H26" i="8"/>
  <c r="Y19" i="8"/>
  <c r="Q19" i="8"/>
  <c r="E19" i="8"/>
  <c r="B26" i="8"/>
  <c r="I23" i="8"/>
  <c r="AF24" i="8"/>
  <c r="AB24" i="8"/>
  <c r="X24" i="8"/>
  <c r="T24" i="8"/>
  <c r="P24" i="8"/>
  <c r="K24" i="8"/>
  <c r="G24" i="8"/>
  <c r="C24" i="8"/>
  <c r="AF26" i="8"/>
  <c r="AB26" i="8"/>
  <c r="X26" i="8"/>
  <c r="T26" i="8"/>
  <c r="P26" i="8"/>
  <c r="K26" i="8"/>
  <c r="G26" i="8"/>
  <c r="C26" i="8"/>
  <c r="AC24" i="8"/>
  <c r="D24" i="8"/>
  <c r="Y26" i="8"/>
  <c r="U26" i="8"/>
  <c r="AD19" i="8"/>
  <c r="V19" i="8"/>
  <c r="N19" i="8"/>
  <c r="L23" i="8"/>
  <c r="D23" i="8"/>
  <c r="AE24" i="8"/>
  <c r="AA24" i="8"/>
  <c r="W24" i="8"/>
  <c r="S24" i="8"/>
  <c r="O24" i="8"/>
  <c r="J24" i="8"/>
  <c r="F24" i="8"/>
  <c r="AE26" i="8"/>
  <c r="AA26" i="8"/>
  <c r="W26" i="8"/>
  <c r="S26" i="8"/>
  <c r="O26" i="8"/>
  <c r="J26" i="8"/>
  <c r="F26" i="8"/>
  <c r="R19" i="8"/>
  <c r="Y24" i="8"/>
  <c r="AC26" i="8"/>
  <c r="D26" i="8"/>
  <c r="J19" i="8"/>
  <c r="B24" i="8"/>
  <c r="AF23" i="8"/>
  <c r="AB23" i="8"/>
  <c r="K23" i="8"/>
  <c r="G23" i="8"/>
  <c r="AD24" i="8"/>
  <c r="Z24" i="8"/>
  <c r="V24" i="8"/>
  <c r="R24" i="8"/>
  <c r="N24" i="8"/>
  <c r="I24" i="8"/>
  <c r="E24" i="8"/>
  <c r="AD26" i="8"/>
  <c r="Z26" i="8"/>
  <c r="R26" i="8"/>
  <c r="N26" i="8"/>
  <c r="I26" i="8"/>
  <c r="E26" i="8"/>
  <c r="J76" i="19"/>
  <c r="J74" i="19"/>
  <c r="J72" i="19"/>
  <c r="J73" i="19"/>
  <c r="J75" i="19"/>
  <c r="J88" i="19"/>
  <c r="J71" i="19"/>
  <c r="J87" i="19"/>
  <c r="J86" i="19"/>
  <c r="J83" i="19"/>
  <c r="J84" i="19"/>
  <c r="J85" i="19"/>
  <c r="E23" i="11"/>
  <c r="Q25" i="11"/>
  <c r="AC23" i="11"/>
  <c r="U23" i="11"/>
  <c r="Z26" i="9"/>
  <c r="Z25" i="9"/>
  <c r="Z23" i="9"/>
  <c r="Z24" i="9"/>
  <c r="AF26" i="9"/>
  <c r="Q24" i="9"/>
  <c r="N26" i="9"/>
  <c r="I20" i="9"/>
  <c r="I25" i="9" s="1"/>
  <c r="T20" i="9"/>
  <c r="T25" i="9" s="1"/>
  <c r="M26" i="9"/>
  <c r="Q20" i="9"/>
  <c r="Q23" i="9" s="1"/>
  <c r="U26" i="9"/>
  <c r="AB26" i="9"/>
  <c r="P20" i="9"/>
  <c r="P23" i="9" s="1"/>
  <c r="U24" i="9"/>
  <c r="T26" i="9"/>
  <c r="X26" i="9"/>
  <c r="P24" i="9"/>
  <c r="R24" i="9"/>
  <c r="AG20" i="9"/>
  <c r="Y20" i="9"/>
  <c r="AG24" i="9"/>
  <c r="I24" i="9"/>
  <c r="N20" i="9"/>
  <c r="L26" i="9"/>
  <c r="S20" i="9"/>
  <c r="U23" i="9"/>
  <c r="S26" i="9"/>
  <c r="AF20" i="9"/>
  <c r="AB20" i="9"/>
  <c r="X20" i="9"/>
  <c r="AE26" i="9"/>
  <c r="W26" i="9"/>
  <c r="AC20" i="9"/>
  <c r="AC24" i="9"/>
  <c r="M20" i="9"/>
  <c r="O26" i="9"/>
  <c r="R20" i="9"/>
  <c r="AE20" i="9"/>
  <c r="W20" i="9"/>
  <c r="AD26" i="9"/>
  <c r="V26" i="9"/>
  <c r="L20" i="9"/>
  <c r="AD20" i="9"/>
  <c r="V20" i="9"/>
  <c r="M19" i="8"/>
  <c r="M23" i="8" s="1"/>
  <c r="M24" i="8"/>
  <c r="M26" i="8"/>
  <c r="N25" i="14"/>
  <c r="N23" i="14"/>
  <c r="AD25" i="14"/>
  <c r="AD23" i="14"/>
  <c r="V25" i="14"/>
  <c r="V23" i="14"/>
  <c r="F20" i="14"/>
  <c r="V26" i="14"/>
  <c r="C20" i="14"/>
  <c r="G20" i="14"/>
  <c r="K20" i="14"/>
  <c r="O20" i="14"/>
  <c r="S20" i="14"/>
  <c r="W20" i="14"/>
  <c r="AA20" i="14"/>
  <c r="AE20" i="14"/>
  <c r="C24" i="14"/>
  <c r="G24" i="14"/>
  <c r="K24" i="14"/>
  <c r="O24" i="14"/>
  <c r="S24" i="14"/>
  <c r="W24" i="14"/>
  <c r="AA24" i="14"/>
  <c r="AE24" i="14"/>
  <c r="J20" i="14"/>
  <c r="R20" i="14"/>
  <c r="Z20" i="14"/>
  <c r="F24" i="14"/>
  <c r="N24" i="14"/>
  <c r="V24" i="14"/>
  <c r="AD24" i="14"/>
  <c r="N26" i="14"/>
  <c r="AD26" i="14"/>
  <c r="D20" i="14"/>
  <c r="H20" i="14"/>
  <c r="L20" i="14"/>
  <c r="P20" i="14"/>
  <c r="T20" i="14"/>
  <c r="X20" i="14"/>
  <c r="AB20" i="14"/>
  <c r="AF20" i="14"/>
  <c r="D24" i="14"/>
  <c r="H24" i="14"/>
  <c r="L24" i="14"/>
  <c r="P24" i="14"/>
  <c r="T24" i="14"/>
  <c r="X24" i="14"/>
  <c r="AB24" i="14"/>
  <c r="AF24" i="14"/>
  <c r="B20" i="14"/>
  <c r="B24" i="14"/>
  <c r="J24" i="14"/>
  <c r="R24" i="14"/>
  <c r="Z24" i="14"/>
  <c r="E20" i="14"/>
  <c r="I20" i="14"/>
  <c r="M20" i="14"/>
  <c r="Q20" i="14"/>
  <c r="U20" i="14"/>
  <c r="Y20" i="14"/>
  <c r="AC20" i="14"/>
  <c r="AG20" i="14"/>
  <c r="E24" i="14"/>
  <c r="I24" i="14"/>
  <c r="M24" i="14"/>
  <c r="Q24" i="14"/>
  <c r="U24" i="14"/>
  <c r="Y24" i="14"/>
  <c r="AC24" i="14"/>
  <c r="AG24" i="14"/>
  <c r="K23" i="13"/>
  <c r="K25" i="13"/>
  <c r="O23" i="13"/>
  <c r="O25" i="13"/>
  <c r="S20" i="13"/>
  <c r="AA20" i="13"/>
  <c r="AE20" i="13"/>
  <c r="K24" i="13"/>
  <c r="S24" i="13"/>
  <c r="AA24" i="13"/>
  <c r="K26" i="13"/>
  <c r="J20" i="13"/>
  <c r="N20" i="13"/>
  <c r="R20" i="13"/>
  <c r="V20" i="13"/>
  <c r="Z20" i="13"/>
  <c r="AD20" i="13"/>
  <c r="J24" i="13"/>
  <c r="N24" i="13"/>
  <c r="R24" i="13"/>
  <c r="V24" i="13"/>
  <c r="Z24" i="13"/>
  <c r="AD24" i="13"/>
  <c r="W20" i="13"/>
  <c r="O24" i="13"/>
  <c r="W24" i="13"/>
  <c r="AE24" i="13"/>
  <c r="O26" i="13"/>
  <c r="L20" i="13"/>
  <c r="P20" i="13"/>
  <c r="T20" i="13"/>
  <c r="X20" i="13"/>
  <c r="AB20" i="13"/>
  <c r="AF20" i="13"/>
  <c r="L24" i="13"/>
  <c r="P24" i="13"/>
  <c r="T24" i="13"/>
  <c r="X24" i="13"/>
  <c r="AB24" i="13"/>
  <c r="AF24" i="13"/>
  <c r="I20" i="13"/>
  <c r="M20" i="13"/>
  <c r="Q20" i="13"/>
  <c r="U20" i="13"/>
  <c r="Y20" i="13"/>
  <c r="AC20" i="13"/>
  <c r="AG20" i="13"/>
  <c r="I24" i="13"/>
  <c r="M24" i="13"/>
  <c r="Q24" i="13"/>
  <c r="U24" i="13"/>
  <c r="Y24" i="13"/>
  <c r="AC24" i="13"/>
  <c r="AG24" i="13"/>
  <c r="Y20" i="12"/>
  <c r="AG20" i="12"/>
  <c r="U24" i="12"/>
  <c r="AG24" i="12"/>
  <c r="V20" i="12"/>
  <c r="Z20" i="12"/>
  <c r="AD20" i="12"/>
  <c r="V24" i="12"/>
  <c r="Z24" i="12"/>
  <c r="AD24" i="12"/>
  <c r="AC20" i="12"/>
  <c r="Y24" i="12"/>
  <c r="W20" i="12"/>
  <c r="AA20" i="12"/>
  <c r="AE20" i="12"/>
  <c r="W24" i="12"/>
  <c r="AA24" i="12"/>
  <c r="AE24" i="12"/>
  <c r="U20" i="12"/>
  <c r="AC24" i="12"/>
  <c r="X20" i="12"/>
  <c r="AB20" i="12"/>
  <c r="AF20" i="12"/>
  <c r="X24" i="12"/>
  <c r="AB24" i="12"/>
  <c r="AF24" i="12"/>
  <c r="O20" i="9"/>
  <c r="X19" i="8"/>
  <c r="T19" i="8"/>
  <c r="P19" i="8"/>
  <c r="H19" i="8"/>
  <c r="B20" i="8"/>
  <c r="C19" i="8"/>
  <c r="V20" i="8"/>
  <c r="AG25" i="11"/>
  <c r="M25" i="11"/>
  <c r="Y23" i="11"/>
  <c r="AD25" i="11"/>
  <c r="V25" i="11"/>
  <c r="I25" i="11"/>
  <c r="Z25" i="11"/>
  <c r="N23" i="11"/>
  <c r="B25" i="11"/>
  <c r="R25" i="11"/>
  <c r="F25" i="11"/>
  <c r="AF23" i="11"/>
  <c r="AB23" i="11"/>
  <c r="X23" i="11"/>
  <c r="T23" i="11"/>
  <c r="P23" i="11"/>
  <c r="L23" i="11"/>
  <c r="H23" i="11"/>
  <c r="D23" i="11"/>
  <c r="J23" i="11"/>
  <c r="AE23" i="11"/>
  <c r="AA23" i="11"/>
  <c r="W23" i="11"/>
  <c r="S23" i="11"/>
  <c r="O23" i="11"/>
  <c r="K23" i="11"/>
  <c r="G23" i="11"/>
  <c r="C23" i="11"/>
  <c r="G20" i="9"/>
  <c r="H20" i="9"/>
  <c r="H24" i="9"/>
  <c r="J24" i="9"/>
  <c r="K20" i="9"/>
  <c r="K26" i="9"/>
  <c r="G24" i="9"/>
  <c r="J20" i="9"/>
  <c r="D20" i="11"/>
  <c r="B20" i="11"/>
  <c r="F20" i="11"/>
  <c r="J20" i="11"/>
  <c r="N20" i="11"/>
  <c r="R20" i="11"/>
  <c r="V20" i="11"/>
  <c r="Z20" i="11"/>
  <c r="AD20" i="11"/>
  <c r="H20" i="11"/>
  <c r="P20" i="11"/>
  <c r="X20" i="11"/>
  <c r="AF20" i="11"/>
  <c r="C20" i="11"/>
  <c r="G20" i="11"/>
  <c r="K20" i="11"/>
  <c r="O20" i="11"/>
  <c r="S20" i="11"/>
  <c r="W20" i="11"/>
  <c r="AA20" i="11"/>
  <c r="AE20" i="11"/>
  <c r="L20" i="11"/>
  <c r="T20" i="11"/>
  <c r="AB20" i="11"/>
  <c r="E20" i="11"/>
  <c r="I20" i="11"/>
  <c r="M20" i="11"/>
  <c r="Q20" i="11"/>
  <c r="U20" i="11"/>
  <c r="Y20" i="11"/>
  <c r="AC20" i="11"/>
  <c r="AG20" i="11"/>
  <c r="D20" i="8"/>
  <c r="I20" i="8"/>
  <c r="AG20" i="8"/>
  <c r="AF20" i="8"/>
  <c r="AC20" i="8"/>
  <c r="AB20" i="8"/>
  <c r="U20" i="8"/>
  <c r="L20" i="8"/>
  <c r="AE20" i="8"/>
  <c r="AA20" i="8"/>
  <c r="W20" i="8"/>
  <c r="S20" i="8"/>
  <c r="O20" i="8"/>
  <c r="K20" i="8"/>
  <c r="G20" i="8"/>
  <c r="K73" i="16" l="1"/>
  <c r="F11" i="16"/>
  <c r="I11" i="16"/>
  <c r="J11" i="16"/>
  <c r="J31" i="26"/>
  <c r="J29" i="26"/>
  <c r="AA23" i="9"/>
  <c r="J29" i="24"/>
  <c r="J31" i="24"/>
  <c r="F25" i="8"/>
  <c r="Z23" i="8"/>
  <c r="E30" i="23"/>
  <c r="E28" i="23"/>
  <c r="H30" i="23"/>
  <c r="H28" i="23"/>
  <c r="D30" i="23"/>
  <c r="D28" i="23"/>
  <c r="I30" i="23"/>
  <c r="I28" i="23"/>
  <c r="G30" i="23"/>
  <c r="G28" i="23"/>
  <c r="C30" i="23"/>
  <c r="C28" i="23"/>
  <c r="F30" i="23"/>
  <c r="F28" i="23"/>
  <c r="B30" i="23"/>
  <c r="B28" i="23"/>
  <c r="J29" i="22"/>
  <c r="J26" i="22"/>
  <c r="J31" i="22"/>
  <c r="Y23" i="9"/>
  <c r="Y25" i="9"/>
  <c r="C25" i="8"/>
  <c r="C23" i="8"/>
  <c r="T25" i="8"/>
  <c r="T23" i="8"/>
  <c r="AD25" i="8"/>
  <c r="AD23" i="8"/>
  <c r="P25" i="8"/>
  <c r="P23" i="8"/>
  <c r="V25" i="8"/>
  <c r="V23" i="8"/>
  <c r="X25" i="8"/>
  <c r="X23" i="8"/>
  <c r="J23" i="8"/>
  <c r="J25" i="8"/>
  <c r="R25" i="8"/>
  <c r="R23" i="8"/>
  <c r="E25" i="8"/>
  <c r="E23" i="8"/>
  <c r="Y25" i="8"/>
  <c r="Y23" i="8"/>
  <c r="H25" i="8"/>
  <c r="H23" i="8"/>
  <c r="N25" i="8"/>
  <c r="N23" i="8"/>
  <c r="Q25" i="8"/>
  <c r="Q23" i="8"/>
  <c r="I23" i="9"/>
  <c r="P25" i="9"/>
  <c r="Q25" i="9"/>
  <c r="T23" i="9"/>
  <c r="V25" i="9"/>
  <c r="V23" i="9"/>
  <c r="AB25" i="9"/>
  <c r="AB23" i="9"/>
  <c r="S23" i="9"/>
  <c r="S25" i="9"/>
  <c r="AE25" i="9"/>
  <c r="AE23" i="9"/>
  <c r="M25" i="9"/>
  <c r="M23" i="9"/>
  <c r="AF25" i="9"/>
  <c r="AF23" i="9"/>
  <c r="AG23" i="9"/>
  <c r="AG25" i="9"/>
  <c r="O23" i="9"/>
  <c r="O25" i="9"/>
  <c r="AD25" i="9"/>
  <c r="AD23" i="9"/>
  <c r="N25" i="9"/>
  <c r="N23" i="9"/>
  <c r="L23" i="9"/>
  <c r="L25" i="9"/>
  <c r="W25" i="9"/>
  <c r="W23" i="9"/>
  <c r="R23" i="9"/>
  <c r="R25" i="9"/>
  <c r="AC25" i="9"/>
  <c r="AC23" i="9"/>
  <c r="X25" i="9"/>
  <c r="X23" i="9"/>
  <c r="M25" i="8"/>
  <c r="I25" i="14"/>
  <c r="I23" i="14"/>
  <c r="L25" i="14"/>
  <c r="L23" i="14"/>
  <c r="AE25" i="14"/>
  <c r="AE23" i="14"/>
  <c r="O25" i="14"/>
  <c r="O23" i="14"/>
  <c r="U25" i="14"/>
  <c r="U23" i="14"/>
  <c r="E25" i="14"/>
  <c r="E23" i="14"/>
  <c r="X25" i="14"/>
  <c r="X23" i="14"/>
  <c r="H25" i="14"/>
  <c r="H23" i="14"/>
  <c r="Z25" i="14"/>
  <c r="Z23" i="14"/>
  <c r="AA25" i="14"/>
  <c r="AA23" i="14"/>
  <c r="K25" i="14"/>
  <c r="K23" i="14"/>
  <c r="F23" i="14"/>
  <c r="F25" i="14"/>
  <c r="AG25" i="14"/>
  <c r="AG23" i="14"/>
  <c r="Q25" i="14"/>
  <c r="Q23" i="14"/>
  <c r="B25" i="14"/>
  <c r="B23" i="14"/>
  <c r="T25" i="14"/>
  <c r="T23" i="14"/>
  <c r="D25" i="14"/>
  <c r="D23" i="14"/>
  <c r="R25" i="14"/>
  <c r="R23" i="14"/>
  <c r="W25" i="14"/>
  <c r="W23" i="14"/>
  <c r="G25" i="14"/>
  <c r="G23" i="14"/>
  <c r="Y25" i="14"/>
  <c r="Y23" i="14"/>
  <c r="AB25" i="14"/>
  <c r="AB23" i="14"/>
  <c r="AC25" i="14"/>
  <c r="AC23" i="14"/>
  <c r="M25" i="14"/>
  <c r="M23" i="14"/>
  <c r="AF25" i="14"/>
  <c r="AF23" i="14"/>
  <c r="P25" i="14"/>
  <c r="P23" i="14"/>
  <c r="J25" i="14"/>
  <c r="J23" i="14"/>
  <c r="S25" i="14"/>
  <c r="S23" i="14"/>
  <c r="C25" i="14"/>
  <c r="C23" i="14"/>
  <c r="I25" i="13"/>
  <c r="I23" i="13"/>
  <c r="X25" i="13"/>
  <c r="X23" i="13"/>
  <c r="U25" i="13"/>
  <c r="U23" i="13"/>
  <c r="T25" i="13"/>
  <c r="T23" i="13"/>
  <c r="Z25" i="13"/>
  <c r="Z23" i="13"/>
  <c r="J25" i="13"/>
  <c r="J23" i="13"/>
  <c r="Y25" i="13"/>
  <c r="Y23" i="13"/>
  <c r="AD25" i="13"/>
  <c r="AD23" i="13"/>
  <c r="N25" i="13"/>
  <c r="N23" i="13"/>
  <c r="S25" i="13"/>
  <c r="S23" i="13"/>
  <c r="AG25" i="13"/>
  <c r="AG23" i="13"/>
  <c r="Q25" i="13"/>
  <c r="Q23" i="13"/>
  <c r="AF25" i="13"/>
  <c r="AF23" i="13"/>
  <c r="P25" i="13"/>
  <c r="P23" i="13"/>
  <c r="V25" i="13"/>
  <c r="V23" i="13"/>
  <c r="AE25" i="13"/>
  <c r="AE23" i="13"/>
  <c r="AC25" i="13"/>
  <c r="AC23" i="13"/>
  <c r="M25" i="13"/>
  <c r="M23" i="13"/>
  <c r="AB25" i="13"/>
  <c r="AB23" i="13"/>
  <c r="L25" i="13"/>
  <c r="L23" i="13"/>
  <c r="W25" i="13"/>
  <c r="W23" i="13"/>
  <c r="R25" i="13"/>
  <c r="R23" i="13"/>
  <c r="AA25" i="13"/>
  <c r="AA23" i="13"/>
  <c r="X25" i="12"/>
  <c r="X23" i="12"/>
  <c r="U25" i="12"/>
  <c r="U23" i="12"/>
  <c r="W25" i="12"/>
  <c r="W23" i="12"/>
  <c r="Y25" i="12"/>
  <c r="Y23" i="12"/>
  <c r="AD25" i="12"/>
  <c r="AD23" i="12"/>
  <c r="AF25" i="12"/>
  <c r="AF23" i="12"/>
  <c r="AE25" i="12"/>
  <c r="AE23" i="12"/>
  <c r="Z25" i="12"/>
  <c r="Z23" i="12"/>
  <c r="AB25" i="12"/>
  <c r="AB23" i="12"/>
  <c r="AA25" i="12"/>
  <c r="AA23" i="12"/>
  <c r="AC25" i="12"/>
  <c r="AC23" i="12"/>
  <c r="V25" i="12"/>
  <c r="V23" i="12"/>
  <c r="AG25" i="12"/>
  <c r="AG23" i="12"/>
  <c r="K23" i="9"/>
  <c r="K25" i="9"/>
  <c r="G25" i="9"/>
  <c r="G23" i="9"/>
  <c r="J25" i="9"/>
  <c r="J23" i="9"/>
  <c r="H25" i="9"/>
  <c r="H23" i="9"/>
  <c r="K64" i="16" l="1"/>
  <c r="C61" i="16"/>
  <c r="K61" i="16" s="1"/>
</calcChain>
</file>

<file path=xl/sharedStrings.xml><?xml version="1.0" encoding="utf-8"?>
<sst xmlns="http://schemas.openxmlformats.org/spreadsheetml/2006/main" count="3470" uniqueCount="358">
  <si>
    <t>Összesen</t>
  </si>
  <si>
    <t>-</t>
  </si>
  <si>
    <t>ALBARAKA TURK</t>
  </si>
  <si>
    <t>TURKIYE FINANS</t>
  </si>
  <si>
    <t>EMLAK KATILIM</t>
  </si>
  <si>
    <t>ZIRAAT KATILIM</t>
  </si>
  <si>
    <t>VAKIF KATILIM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</si>
  <si>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</si>
  <si>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</si>
  <si>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</si>
  <si>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</si>
  <si>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</si>
  <si>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</si>
  <si>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</si>
  <si>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</si>
  <si>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</si>
  <si>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</si>
  <si>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</si>
  <si>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</si>
  <si>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</si>
  <si>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</si>
  <si>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</si>
  <si>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</si>
  <si>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</si>
  <si>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</si>
  <si>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</si>
  <si>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</si>
  <si>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</si>
  <si>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</si>
  <si>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</si>
  <si>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</si>
  <si>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</si>
  <si>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</si>
  <si>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</si>
  <si>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</si>
  <si>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2021 Q1</t>
  </si>
  <si>
    <t>2021 Q2</t>
  </si>
  <si>
    <t>2021 Q3</t>
  </si>
  <si>
    <t>2021 Q4</t>
  </si>
  <si>
    <t>KUVEYT TURK</t>
  </si>
  <si>
    <t>(ELLENŐRZÉS)</t>
  </si>
  <si>
    <t>CAR (Capital Adequacy Raito) %</t>
  </si>
  <si>
    <t>Liabilities</t>
  </si>
  <si>
    <t>Shareholders' equity</t>
  </si>
  <si>
    <t>Total Liabilities</t>
  </si>
  <si>
    <t>TOTAL LIABILITIES AND EQUITY</t>
  </si>
  <si>
    <t>D/E (Kötelezettségek/Saját tőke)</t>
  </si>
  <si>
    <t>Tőkeáttétel (Mérlegfőösszeg/Saját tőke)</t>
  </si>
  <si>
    <r>
      <t>I. Funds Collected/</t>
    </r>
    <r>
      <rPr>
        <sz val="10"/>
        <color rgb="FFFF0000"/>
        <rFont val="Times New Roman"/>
        <family val="1"/>
        <charset val="238"/>
      </rPr>
      <t>I. Funds Collected</t>
    </r>
  </si>
  <si>
    <r>
      <t>II. Derivative financial liabilites held for trading/</t>
    </r>
    <r>
      <rPr>
        <sz val="11"/>
        <color rgb="FFFF0000"/>
        <rFont val="Times New Roman"/>
        <family val="1"/>
        <charset val="238"/>
      </rPr>
      <t>II. Funds borrowed</t>
    </r>
  </si>
  <si>
    <r>
      <t>III. Funds Borrowed/</t>
    </r>
    <r>
      <rPr>
        <sz val="11"/>
        <color rgb="FFFF0000"/>
        <rFont val="Times New Roman"/>
        <family val="1"/>
        <charset val="238"/>
      </rPr>
      <t>III. Borrowings from money markets</t>
    </r>
  </si>
  <si>
    <r>
      <t>IV. Borrowings from money markets/</t>
    </r>
    <r>
      <rPr>
        <sz val="11"/>
        <color rgb="FFFF0000"/>
        <rFont val="Times New Roman"/>
        <family val="1"/>
        <charset val="238"/>
      </rPr>
      <t>IV. Securities issued (net)</t>
    </r>
  </si>
  <si>
    <r>
      <t>V. Securities Issued (net)/</t>
    </r>
    <r>
      <rPr>
        <sz val="11"/>
        <color rgb="FFFF0000"/>
        <rFont val="Times New Roman"/>
        <family val="1"/>
        <charset val="238"/>
      </rPr>
      <t>V. Financial liabilities at fair value through profit and loss</t>
    </r>
  </si>
  <si>
    <r>
      <t>VI. Miscellaneous payables/</t>
    </r>
    <r>
      <rPr>
        <sz val="11"/>
        <color rgb="FFFF0000"/>
        <rFont val="Times New Roman"/>
        <family val="1"/>
        <charset val="238"/>
      </rPr>
      <t>VI. Derivative financial liabilities</t>
    </r>
  </si>
  <si>
    <r>
      <t>VII. Other liabilities/</t>
    </r>
    <r>
      <rPr>
        <sz val="11"/>
        <color rgb="FFFF0000"/>
        <rFont val="Times New Roman"/>
        <family val="1"/>
        <charset val="238"/>
      </rPr>
      <t>VII. Lease payables</t>
    </r>
  </si>
  <si>
    <r>
      <t>VIII. Lease payables/</t>
    </r>
    <r>
      <rPr>
        <sz val="11"/>
        <color rgb="FFFF0000"/>
        <rFont val="Times New Roman"/>
        <family val="1"/>
        <charset val="238"/>
      </rPr>
      <t>VIII. Provisions</t>
    </r>
  </si>
  <si>
    <r>
      <t>IX. Derivative financial liabilities for hedging purposes/</t>
    </r>
    <r>
      <rPr>
        <sz val="11"/>
        <color rgb="FFFF0000"/>
        <rFont val="Times New Roman"/>
        <family val="1"/>
        <charset val="238"/>
      </rPr>
      <t>IX. Current tax liability</t>
    </r>
  </si>
  <si>
    <r>
      <t>X. Provisions/</t>
    </r>
    <r>
      <rPr>
        <sz val="11"/>
        <color rgb="FFFF0000"/>
        <rFont val="Times New Roman"/>
        <family val="1"/>
        <charset val="238"/>
      </rPr>
      <t>X. Deferred tax liability</t>
    </r>
  </si>
  <si>
    <r>
      <t>XI. Tax liability/</t>
    </r>
    <r>
      <rPr>
        <sz val="11"/>
        <color rgb="FFFF0000"/>
        <rFont val="Times New Roman"/>
        <family val="1"/>
        <charset val="238"/>
      </rPr>
      <t>XI. Liabilities for assets held for sale and assets of discontinued operations (net)</t>
    </r>
  </si>
  <si>
    <r>
      <t>XIII. Subordinated loans/</t>
    </r>
    <r>
      <rPr>
        <sz val="11"/>
        <color rgb="FFFF0000"/>
        <rFont val="Times New Roman"/>
        <family val="1"/>
        <charset val="238"/>
      </rPr>
      <t>XIII. Other liabilities</t>
    </r>
  </si>
  <si>
    <r>
      <t>XII. Liabilities for assets held for sale and assets of discontinued operations (net)/</t>
    </r>
    <r>
      <rPr>
        <sz val="11"/>
        <color rgb="FFFF0000"/>
        <rFont val="Times New Roman"/>
        <family val="1"/>
        <charset val="238"/>
      </rPr>
      <t>XII. Subordinated loans</t>
    </r>
  </si>
  <si>
    <t>Total liabilities</t>
  </si>
  <si>
    <r>
      <t xml:space="preserve">Tőke ellátottsági mutató(Saját tőke/Források összesen) </t>
    </r>
    <r>
      <rPr>
        <b/>
        <sz val="11"/>
        <color theme="1"/>
        <rFont val="Times New Roman"/>
        <family val="1"/>
        <charset val="238"/>
      </rPr>
      <t>%</t>
    </r>
  </si>
  <si>
    <r>
      <t xml:space="preserve">(Saját tőke/Kötelezettségek) </t>
    </r>
    <r>
      <rPr>
        <b/>
        <sz val="11"/>
        <color theme="1"/>
        <rFont val="Times New Roman"/>
        <family val="1"/>
        <charset val="238"/>
      </rPr>
      <t>%</t>
    </r>
  </si>
  <si>
    <r>
      <t>II. Derivative financial liabilities held for trading/</t>
    </r>
    <r>
      <rPr>
        <sz val="11"/>
        <color rgb="FFFF0000"/>
        <rFont val="Times New Roman"/>
        <family val="1"/>
        <charset val="238"/>
      </rPr>
      <t>II. Funds borrowed</t>
    </r>
  </si>
  <si>
    <r>
      <t>III. Funds borrowed/</t>
    </r>
    <r>
      <rPr>
        <sz val="11"/>
        <color rgb="FFFF0000"/>
        <rFont val="Times New Roman"/>
        <family val="1"/>
        <charset val="238"/>
      </rPr>
      <t>III. Money markets</t>
    </r>
  </si>
  <si>
    <r>
      <t>I. Funds collected/</t>
    </r>
    <r>
      <rPr>
        <sz val="11"/>
        <color rgb="FFFF0000"/>
        <rFont val="Times New Roman"/>
        <family val="1"/>
        <charset val="238"/>
      </rPr>
      <t>I. Funds Collected</t>
    </r>
  </si>
  <si>
    <r>
      <t>IV. Money market balances/</t>
    </r>
    <r>
      <rPr>
        <sz val="11"/>
        <color rgb="FFFF0000"/>
        <rFont val="Times New Roman"/>
        <family val="1"/>
        <charset val="238"/>
      </rPr>
      <t>IV. Securities issued (net)</t>
    </r>
  </si>
  <si>
    <r>
      <t>V. Marketables securities issued (net)/</t>
    </r>
    <r>
      <rPr>
        <sz val="11"/>
        <color rgb="FFFF0000"/>
        <rFont val="Times New Roman"/>
        <family val="1"/>
        <charset val="238"/>
      </rPr>
      <t>V. Financial liabilities at fair value through profit or loss</t>
    </r>
  </si>
  <si>
    <r>
      <t>VI. Sundry creditors/</t>
    </r>
    <r>
      <rPr>
        <sz val="11"/>
        <color rgb="FFFF0000"/>
        <rFont val="Times New Roman"/>
        <family val="1"/>
        <charset val="238"/>
      </rPr>
      <t>VI. Derivative financial liabilities</t>
    </r>
  </si>
  <si>
    <r>
      <t>VII. Other liabilities/</t>
    </r>
    <r>
      <rPr>
        <sz val="11"/>
        <color rgb="FFFF0000"/>
        <rFont val="Times New Roman,Bold"/>
        <charset val="238"/>
      </rPr>
      <t>VII. Lease payables</t>
    </r>
  </si>
  <si>
    <r>
      <t>VIII. Finance lease payables/</t>
    </r>
    <r>
      <rPr>
        <sz val="11"/>
        <color rgb="FFFF0000"/>
        <rFont val="Times New Roman"/>
        <family val="1"/>
        <charset val="238"/>
      </rPr>
      <t>VIII. Provisions</t>
    </r>
  </si>
  <si>
    <r>
      <t>IX. Derivative financial liabilities for hedging purposes/</t>
    </r>
    <r>
      <rPr>
        <sz val="11"/>
        <color rgb="FFFF0000"/>
        <rFont val="Times New Roman"/>
        <family val="1"/>
        <charset val="238"/>
      </rPr>
      <t>IX. Current tax liabilities</t>
    </r>
  </si>
  <si>
    <r>
      <t>X. Provisions/</t>
    </r>
    <r>
      <rPr>
        <sz val="11"/>
        <color rgb="FFFF0000"/>
        <rFont val="Times New Roman"/>
        <family val="1"/>
        <charset val="238"/>
      </rPr>
      <t>X. Deferred tax liabilities</t>
    </r>
  </si>
  <si>
    <r>
      <t>XI. Tax liability/</t>
    </r>
    <r>
      <rPr>
        <sz val="11"/>
        <color rgb="FFFF0000"/>
        <rFont val="Times New Roman"/>
        <family val="1"/>
        <charset val="238"/>
      </rPr>
      <t>XI. Liabilities for property and equipment held for sale and related to discontinued operations (net)</t>
    </r>
  </si>
  <si>
    <r>
      <t>XII. Payables related to assets held for sale and discontinued operations (net)/</t>
    </r>
    <r>
      <rPr>
        <sz val="11"/>
        <color rgb="FFFF0000"/>
        <rFont val="Times New Roman"/>
        <family val="1"/>
        <charset val="238"/>
      </rPr>
      <t>XII. Subordinated debt instruments</t>
    </r>
  </si>
  <si>
    <t>I Funds Collected</t>
  </si>
  <si>
    <t>II Funds borrowed</t>
  </si>
  <si>
    <t>IV Securities issued (net)</t>
  </si>
  <si>
    <t>V Financial liabilities at fair value through profit and loss</t>
  </si>
  <si>
    <t>VI Derivative financial liabilities</t>
  </si>
  <si>
    <t>VII Lease payables</t>
  </si>
  <si>
    <t>VIII Provisions</t>
  </si>
  <si>
    <t>IX Current tax liability</t>
  </si>
  <si>
    <t>X Deferred tax liability</t>
  </si>
  <si>
    <t>XI Liabilities for assets held for sale and assets of discontinued operations (net)</t>
  </si>
  <si>
    <t>XII Subordinated loans</t>
  </si>
  <si>
    <t>XIII Other liabilities</t>
  </si>
  <si>
    <t>III Money markets funds</t>
  </si>
  <si>
    <t>25.51</t>
  </si>
  <si>
    <r>
      <t>I Funds Collected/</t>
    </r>
    <r>
      <rPr>
        <sz val="10"/>
        <color rgb="FFFF0000"/>
        <rFont val="Times New Roman"/>
        <family val="1"/>
        <charset val="238"/>
      </rPr>
      <t>I Funds Collected</t>
    </r>
  </si>
  <si>
    <r>
      <t>II Derivative financial liabilites held for trading/</t>
    </r>
    <r>
      <rPr>
        <sz val="11"/>
        <color rgb="FFFF0000"/>
        <rFont val="Times New Roman"/>
        <family val="1"/>
        <charset val="238"/>
      </rPr>
      <t>II Funds borrowed</t>
    </r>
  </si>
  <si>
    <r>
      <t>III Funds Borrowed/</t>
    </r>
    <r>
      <rPr>
        <sz val="11"/>
        <color rgb="FFFF0000"/>
        <rFont val="Times New Roman"/>
        <family val="1"/>
        <charset val="238"/>
      </rPr>
      <t>III Money market balances</t>
    </r>
  </si>
  <si>
    <r>
      <t>IV Borrowings from money markets/</t>
    </r>
    <r>
      <rPr>
        <sz val="11"/>
        <color rgb="FFFF0000"/>
        <rFont val="Times New Roman"/>
        <family val="1"/>
        <charset val="238"/>
      </rPr>
      <t>IV Marketable securities issued (net)</t>
    </r>
  </si>
  <si>
    <r>
      <t>V Securities Issued (net)/</t>
    </r>
    <r>
      <rPr>
        <sz val="11"/>
        <color rgb="FFFF0000"/>
        <rFont val="Times New Roman"/>
        <family val="1"/>
        <charset val="238"/>
      </rPr>
      <t>V Financial liabilities valued at fair value through profit and loss</t>
    </r>
  </si>
  <si>
    <r>
      <t>VI Miscellaneous payables/</t>
    </r>
    <r>
      <rPr>
        <sz val="11"/>
        <color rgb="FFFF0000"/>
        <rFont val="Times New Roman"/>
        <family val="1"/>
        <charset val="238"/>
      </rPr>
      <t>VI Derivative financial liabilities</t>
    </r>
  </si>
  <si>
    <r>
      <t>VII Other liabilities/</t>
    </r>
    <r>
      <rPr>
        <sz val="11"/>
        <color rgb="FFFF0000"/>
        <rFont val="Times New Roman"/>
        <family val="1"/>
        <charset val="238"/>
      </rPr>
      <t>VII Lease payables</t>
    </r>
  </si>
  <si>
    <r>
      <t>VIII Lease payables/</t>
    </r>
    <r>
      <rPr>
        <sz val="11"/>
        <color rgb="FFFF0000"/>
        <rFont val="Times New Roman"/>
        <family val="1"/>
        <charset val="238"/>
      </rPr>
      <t>VIII Provisions</t>
    </r>
  </si>
  <si>
    <r>
      <t>IX Derivative financial liabilities for hedging purposes/</t>
    </r>
    <r>
      <rPr>
        <sz val="11"/>
        <color rgb="FFFF0000"/>
        <rFont val="Times New Roman"/>
        <family val="1"/>
        <charset val="238"/>
      </rPr>
      <t>IX Current tax liability</t>
    </r>
  </si>
  <si>
    <r>
      <t>X Provisions/</t>
    </r>
    <r>
      <rPr>
        <sz val="11"/>
        <color rgb="FFFF0000"/>
        <rFont val="Times New Roman"/>
        <family val="1"/>
        <charset val="238"/>
      </rPr>
      <t>X Deferred tax liability</t>
    </r>
  </si>
  <si>
    <r>
      <t>XI Tax liability/</t>
    </r>
    <r>
      <rPr>
        <sz val="11"/>
        <color rgb="FFFF0000"/>
        <rFont val="Times New Roman"/>
        <family val="1"/>
        <charset val="238"/>
      </rPr>
      <t>XI Liabilities for assets held for sale and discontinued operations (net)</t>
    </r>
  </si>
  <si>
    <r>
      <t>XII Liabilities for assets held for sale and assets of discontinued operations (net)/</t>
    </r>
    <r>
      <rPr>
        <sz val="11"/>
        <color rgb="FFFF0000"/>
        <rFont val="Times New Roman"/>
        <family val="1"/>
        <charset val="238"/>
      </rPr>
      <t>XII Subordinated debts</t>
    </r>
  </si>
  <si>
    <r>
      <t>XIII Subordinated loans/</t>
    </r>
    <r>
      <rPr>
        <sz val="11"/>
        <color rgb="FFFF0000"/>
        <rFont val="Times New Roman"/>
        <family val="1"/>
        <charset val="238"/>
      </rPr>
      <t>XIII Other liabilities</t>
    </r>
  </si>
  <si>
    <r>
      <t>IX. Derivative financial liabilities held for risk management/</t>
    </r>
    <r>
      <rPr>
        <sz val="11"/>
        <color rgb="FFFF0000"/>
        <rFont val="Times New Roman"/>
        <family val="1"/>
        <charset val="238"/>
      </rPr>
      <t>IX. Current tax liabilities</t>
    </r>
  </si>
  <si>
    <r>
      <t>XII. Liabilities for assets held for sale and discontinued operations (net)/</t>
    </r>
    <r>
      <rPr>
        <sz val="11"/>
        <color rgb="FFFF0000"/>
        <rFont val="Times New Roman"/>
        <family val="1"/>
        <charset val="238"/>
      </rPr>
      <t>XII. Subordinated debt instruments</t>
    </r>
  </si>
  <si>
    <r>
      <t>XIII. Subordinated debts/</t>
    </r>
    <r>
      <rPr>
        <sz val="11"/>
        <color rgb="FFFF0000"/>
        <rFont val="Times New Roman"/>
        <family val="1"/>
        <charset val="238"/>
      </rPr>
      <t>XIII. Other liabilities</t>
    </r>
  </si>
  <si>
    <r>
      <t>IV. Money market balances/</t>
    </r>
    <r>
      <rPr>
        <sz val="11"/>
        <color rgb="FFFF0000"/>
        <rFont val="Times New Roman"/>
        <family val="1"/>
        <charset val="238"/>
      </rPr>
      <t>IV. Marketable securities issued (net)</t>
    </r>
  </si>
  <si>
    <r>
      <t>V. Marketables securities issued (net)/</t>
    </r>
    <r>
      <rPr>
        <sz val="11"/>
        <color rgb="FFFF0000"/>
        <rFont val="Times New Roman"/>
        <family val="1"/>
        <charset val="238"/>
      </rPr>
      <t>V. Financial liabilities at fair value through profit and loss</t>
    </r>
  </si>
  <si>
    <r>
      <t>I. Fund collected/</t>
    </r>
    <r>
      <rPr>
        <sz val="11"/>
        <color rgb="FFFF0000"/>
        <rFont val="Times New Roman"/>
        <family val="1"/>
        <charset val="238"/>
      </rPr>
      <t>I. Funds Collected</t>
    </r>
  </si>
  <si>
    <t>Non-performing loans (NPL)</t>
  </si>
  <si>
    <t>Céltartalék alakulása</t>
  </si>
  <si>
    <t>Bevételek alakulása</t>
  </si>
  <si>
    <t>Kiadások alakulása</t>
  </si>
  <si>
    <t>Díjak és jutalékok bevételeinek alakulása</t>
  </si>
  <si>
    <t>Net Fees and commissions income/expenses</t>
  </si>
  <si>
    <t>Trading income/loss (net)</t>
  </si>
  <si>
    <t>Other operating income</t>
  </si>
  <si>
    <t>Profit/Loss from continued operations before taxes</t>
  </si>
  <si>
    <t>Kereskedelemből származó bevételek alakulása</t>
  </si>
  <si>
    <t>Egyéb bevételek alakulása</t>
  </si>
  <si>
    <t>Egyéb kiadások alakulása</t>
  </si>
  <si>
    <t>Other profit share expense</t>
  </si>
  <si>
    <t>Profit share income</t>
  </si>
  <si>
    <t>Profit share expense</t>
  </si>
  <si>
    <t>Átlag</t>
  </si>
  <si>
    <t>Osztályzat</t>
  </si>
  <si>
    <t>Bevételarányos nyereség</t>
  </si>
  <si>
    <t>adatok ezer török lírában</t>
  </si>
  <si>
    <t>adatok százalékban</t>
  </si>
  <si>
    <t>Változás</t>
  </si>
  <si>
    <t>Adózás utáni eredmény alakulása</t>
  </si>
  <si>
    <t>Nettó működési haszonrés</t>
  </si>
  <si>
    <t>Net income/loss from continued operations</t>
  </si>
  <si>
    <r>
      <t>Net income/loss from continued operations/</t>
    </r>
    <r>
      <rPr>
        <sz val="11"/>
        <color rgb="FFFF0000"/>
        <rFont val="Calibri"/>
        <family val="2"/>
        <charset val="238"/>
        <scheme val="minor"/>
      </rPr>
      <t>Current period profit/(loss) from continued operations</t>
    </r>
  </si>
  <si>
    <r>
      <t>Net income/loss from continued operations/</t>
    </r>
    <r>
      <rPr>
        <sz val="11"/>
        <color rgb="FFFF0000"/>
        <rFont val="Calibri"/>
        <family val="2"/>
        <charset val="238"/>
        <scheme val="minor"/>
      </rPr>
      <t>Net peroid profit/loss from continued operations</t>
    </r>
  </si>
  <si>
    <t>MÉRLEG</t>
  </si>
  <si>
    <t>MUTATÓK</t>
  </si>
  <si>
    <t>EREDMÉNYKIMUTATÁS</t>
  </si>
  <si>
    <t>NET PROFIT SHARE INCOME</t>
  </si>
  <si>
    <t>Dividend icome</t>
  </si>
  <si>
    <t>Other oprating expenses/Other profit share expense</t>
  </si>
  <si>
    <r>
      <t>I. Cash and balances with the central bank/</t>
    </r>
    <r>
      <rPr>
        <sz val="10"/>
        <color rgb="FFFF0000"/>
        <rFont val="Times New Roman"/>
        <family val="1"/>
        <charset val="238"/>
      </rPr>
      <t>I.1.1.1. Cash and balances with central</t>
    </r>
    <r>
      <rPr>
        <sz val="10"/>
        <rFont val="Times New Roman"/>
        <family val="1"/>
        <charset val="238"/>
      </rPr>
      <t xml:space="preserve"> </t>
    </r>
    <r>
      <rPr>
        <sz val="10"/>
        <color rgb="FFFF0000"/>
        <rFont val="Times New Roman"/>
        <family val="1"/>
        <charset val="238"/>
      </rPr>
      <t>banks</t>
    </r>
  </si>
  <si>
    <r>
      <t>III.Banks/</t>
    </r>
    <r>
      <rPr>
        <sz val="10"/>
        <color rgb="FFFF0000"/>
        <rFont val="Times New Roman"/>
        <family val="1"/>
        <charset val="238"/>
      </rPr>
      <t>I.1.1.2. Banks</t>
    </r>
  </si>
  <si>
    <r>
      <t>V. Financial assets-available for sale (net)/</t>
    </r>
    <r>
      <rPr>
        <sz val="10"/>
        <color rgb="FFFF0000"/>
        <rFont val="Times New Roman"/>
        <family val="1"/>
        <charset val="238"/>
      </rPr>
      <t>I.1.3. Financial Assets Measured at Fair Value through Other Comprehensive Income (FVOCI)</t>
    </r>
  </si>
  <si>
    <r>
      <t>NPL (Non-performing loans)/</t>
    </r>
    <r>
      <rPr>
        <sz val="10"/>
        <color rgb="FFFF0000"/>
        <rFont val="Times New Roman"/>
        <family val="1"/>
        <charset val="238"/>
      </rPr>
      <t>II.2.4. Non performing receivables</t>
    </r>
  </si>
  <si>
    <r>
      <t>V. Financial assets-available for sale (net)/</t>
    </r>
    <r>
      <rPr>
        <sz val="10"/>
        <color rgb="FFFF0000"/>
        <rFont val="Times New Roman"/>
        <family val="1"/>
        <charset val="238"/>
      </rPr>
      <t>I.1.3. Financial Assets at fair value through other comprehensive income</t>
    </r>
  </si>
  <si>
    <r>
      <t>III.Banks and other financial institutions/</t>
    </r>
    <r>
      <rPr>
        <sz val="10"/>
        <color rgb="FFFF0000"/>
        <rFont val="Times New Roman"/>
        <family val="1"/>
        <charset val="238"/>
      </rPr>
      <t>I.1.1.2. Banks</t>
    </r>
  </si>
  <si>
    <t>Other profit share expense/Other operating expense</t>
  </si>
  <si>
    <t>Profit/(loss) before taxes from continued operations</t>
  </si>
  <si>
    <r>
      <t>I. Cash and balances with the central bank of Turkey/</t>
    </r>
    <r>
      <rPr>
        <sz val="10"/>
        <color rgb="FFFF0000"/>
        <rFont val="Times New Roman"/>
        <family val="1"/>
        <charset val="238"/>
      </rPr>
      <t>I.1.1.1. Cash and balances with central</t>
    </r>
    <r>
      <rPr>
        <sz val="10"/>
        <rFont val="Times New Roman"/>
        <family val="1"/>
        <charset val="238"/>
      </rPr>
      <t xml:space="preserve"> </t>
    </r>
    <r>
      <rPr>
        <sz val="10"/>
        <color rgb="FFFF0000"/>
        <rFont val="Times New Roman"/>
        <family val="1"/>
        <charset val="238"/>
      </rPr>
      <t>banks</t>
    </r>
  </si>
  <si>
    <t>Ellenőrzés</t>
  </si>
  <si>
    <r>
      <t>VI. Loans and receivables/</t>
    </r>
    <r>
      <rPr>
        <sz val="10"/>
        <color rgb="FFFF0000"/>
        <rFont val="Times New Roman"/>
        <family val="1"/>
        <charset val="238"/>
      </rPr>
      <t>II.2.1. Loans</t>
    </r>
  </si>
  <si>
    <t>Other operation expenses</t>
  </si>
  <si>
    <r>
      <t>VI. Loans/</t>
    </r>
    <r>
      <rPr>
        <sz val="10"/>
        <color rgb="FFFF0000"/>
        <rFont val="Times New Roman"/>
        <family val="1"/>
        <charset val="238"/>
      </rPr>
      <t>II.2.1 Loans</t>
    </r>
  </si>
  <si>
    <r>
      <t>VI. Loans and receivables/</t>
    </r>
    <r>
      <rPr>
        <sz val="10"/>
        <color rgb="FFFF0000"/>
        <rFont val="Times New Roman"/>
        <family val="1"/>
        <charset val="238"/>
      </rPr>
      <t xml:space="preserve">II.2.1 Loans </t>
    </r>
  </si>
  <si>
    <r>
      <rPr>
        <sz val="10"/>
        <color rgb="FFFF0000"/>
        <rFont val="Times New Roman"/>
        <family val="1"/>
        <charset val="238"/>
      </rPr>
      <t>I.1.1.1. Cash and balances with central</t>
    </r>
    <r>
      <rPr>
        <sz val="10"/>
        <rFont val="Times New Roman"/>
        <family val="1"/>
        <charset val="238"/>
      </rPr>
      <t xml:space="preserve"> </t>
    </r>
    <r>
      <rPr>
        <sz val="10"/>
        <color rgb="FFFF0000"/>
        <rFont val="Times New Roman"/>
        <family val="1"/>
        <charset val="238"/>
      </rPr>
      <t>banks</t>
    </r>
  </si>
  <si>
    <t>I.1.1.2. Banks</t>
  </si>
  <si>
    <t>I.1.3. Financial Assets Measured at Fair Value through Other Comprehensive Income (FVOCI)</t>
  </si>
  <si>
    <t xml:space="preserve">II.2.1 Loans </t>
  </si>
  <si>
    <t>II.2.4. Non performing receivables</t>
  </si>
  <si>
    <r>
      <rPr>
        <i/>
        <sz val="11"/>
        <rFont val="Times New Roman"/>
        <family val="1"/>
        <charset val="238"/>
      </rPr>
      <t>Forrás:</t>
    </r>
    <r>
      <rPr>
        <b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A török iszlám bankok éves jelentései (2014-2021) alapján, saját szerkesztés</t>
    </r>
  </si>
  <si>
    <t>Készpénz és központi banknál lévő betétszámlák alakulása</t>
  </si>
  <si>
    <t>Bankközi betétek alakulása</t>
  </si>
  <si>
    <t>Értékesíthető pénzügyi eszközök alakulása</t>
  </si>
  <si>
    <t>ROE</t>
  </si>
  <si>
    <t>ROA</t>
  </si>
  <si>
    <t>Hitel/Betét arány</t>
  </si>
  <si>
    <t>Bankközi likviditás</t>
  </si>
  <si>
    <t>Betétek alakulása</t>
  </si>
  <si>
    <t>Török bankszektor</t>
  </si>
  <si>
    <t>Mérlegfőösszeg</t>
  </si>
  <si>
    <t>Hitelállomány</t>
  </si>
  <si>
    <t>Saját tőke</t>
  </si>
  <si>
    <t>Hitelállomány alakulása</t>
  </si>
  <si>
    <t>Mérlegfőösszeg alakulása</t>
  </si>
  <si>
    <t>Saját tőke alakulása</t>
  </si>
  <si>
    <t>Nem teljesített hitelek (NPL) alakulása</t>
  </si>
  <si>
    <t>Tőkemegfelelési mutató (CAR) alakulása</t>
  </si>
  <si>
    <t>Tőkeáttételi mutató alakulása</t>
  </si>
  <si>
    <t>Adózás előtti eredmény alakulása</t>
  </si>
  <si>
    <t>C</t>
  </si>
  <si>
    <t>A</t>
  </si>
  <si>
    <t>M</t>
  </si>
  <si>
    <t>E</t>
  </si>
  <si>
    <t>L</t>
  </si>
  <si>
    <t>SAJÁT TŐKE ALAKULÁSA</t>
  </si>
  <si>
    <t>MÉRLEGFŐÖSSZEG ALAKULÁSA</t>
  </si>
  <si>
    <t>Albaraka</t>
  </si>
  <si>
    <t>Kuveyt</t>
  </si>
  <si>
    <t>Turkiye</t>
  </si>
  <si>
    <t>Ziraat</t>
  </si>
  <si>
    <t>Vakif</t>
  </si>
  <si>
    <t>Emlak</t>
  </si>
  <si>
    <t>HITELÁLLOMÁNY ALAKULÁSA</t>
  </si>
  <si>
    <t>TŐKEMEGFELELÉSI MUTATÓK ALAKULÁSA</t>
  </si>
  <si>
    <t>TŐKEÁTTÉTELI MUTATÓK ALAKULÁSA</t>
  </si>
  <si>
    <t>HITEL TŐKEFEDEZETTSÉGI MUTATÓK ALAKULÁSA</t>
  </si>
  <si>
    <t>NPL ARÁNYA AZ ÖSSZES HITELHEZ</t>
  </si>
  <si>
    <t>HITELÁLLOMÁNY  AZ ÖSSZES ESZKÖZHÖZ VISZONYÍTVA</t>
  </si>
  <si>
    <t>CÉLTARTALÉKOK ALAKULÁSA</t>
  </si>
  <si>
    <t>Összes bevétel alakulása</t>
  </si>
  <si>
    <t>Összes kiadás alakulása</t>
  </si>
  <si>
    <t>Teljes működésből származó bevétel alakulása</t>
  </si>
  <si>
    <t>ESZKÖZÖK</t>
  </si>
  <si>
    <t>FORRÁSOK</t>
  </si>
  <si>
    <t>MŰKÖDÉSI BEVÉTELEK</t>
  </si>
  <si>
    <t>ÖSSZES BEVÉTEL/KIADÁS</t>
  </si>
  <si>
    <t>MŰKÖDÉSI KIADÁSOK</t>
  </si>
  <si>
    <t>Teljes működésből származó kiadások alakulása</t>
  </si>
  <si>
    <t>AEE/AUE</t>
  </si>
  <si>
    <t xml:space="preserve">Albaraka </t>
  </si>
  <si>
    <t xml:space="preserve">Kuveyt </t>
  </si>
  <si>
    <t xml:space="preserve">Turkiye </t>
  </si>
  <si>
    <t xml:space="preserve">Ziraat </t>
  </si>
  <si>
    <t xml:space="preserve">Emlak </t>
  </si>
  <si>
    <t>ÖSSZES KIADÁS</t>
  </si>
  <si>
    <t>CAR mérték</t>
  </si>
  <si>
    <t>ÖSSZES BEVÉTEL</t>
  </si>
  <si>
    <t>ESZKÖZARÁNYOS KÖLTSÉGEK ALAKULÁSA</t>
  </si>
  <si>
    <t>BEVÉTELARÁNYOS NYERESÉG ALAKULÁSA</t>
  </si>
  <si>
    <t>BEVÉTELARÁNYOS KÖLTSÉGEK</t>
  </si>
  <si>
    <t>ADÓZÁS ELŐTTI EREDMÉNY ALAKULÁSA</t>
  </si>
  <si>
    <t>ROE ALAKULÁSA</t>
  </si>
  <si>
    <t>ADÓZÁS UTÁNI EREDMÉNYEK ALAKULÁSA</t>
  </si>
  <si>
    <t>ROA ALAKULÁSA</t>
  </si>
  <si>
    <t>NETTÓ MŰKÖDÉSI HASZONRÉS ALAKULÁSA</t>
  </si>
  <si>
    <t>ROE érték</t>
  </si>
  <si>
    <t>ROA érték</t>
  </si>
  <si>
    <t>TELJES MŰKÖDÉSBŐL SZÁRMAZÓ BEVÉTEL ALAKULÁSA</t>
  </si>
  <si>
    <t>TELJES MŰKÖDÉSBŐL SZÁRMAZÓ KIADÁS ALAKULÁSA</t>
  </si>
  <si>
    <t>ÉRTÉKESÍTHETŐ PÉNZÜGYI ESZKÖZÖK ALAKULÁSA</t>
  </si>
  <si>
    <t>BANKKÖZI BETÉTEK ALAKULÁSA</t>
  </si>
  <si>
    <t>KÉSZPÉNZ ÉS KÖZPONTI BANKNÁL LÉVŐ BETÉTSZÁMLÁK ALAKULÁSA</t>
  </si>
  <si>
    <t>BANKKÖZI LIKVIDITÁS ALAKULÁSA</t>
  </si>
  <si>
    <t>HITEL/BETÉT ARÁNYÁNAK ALAKULÁSA</t>
  </si>
  <si>
    <t>BETÉTEK ALAKULÁSA</t>
  </si>
  <si>
    <t>LIKVIDITÁSI MUTATÓk ALAKULÁSA</t>
  </si>
  <si>
    <t>Mutató értéke</t>
  </si>
  <si>
    <t>adatok millió török lírában</t>
  </si>
  <si>
    <t>1=erős</t>
  </si>
  <si>
    <t>2=kielégítő</t>
  </si>
  <si>
    <t>3=átlagos</t>
  </si>
  <si>
    <t>4=elégséges</t>
  </si>
  <si>
    <t>5=nem megfelelő</t>
  </si>
  <si>
    <t>Tőkemegfelelési mutatók</t>
  </si>
  <si>
    <t>Tőkeáttételi mutatók</t>
  </si>
  <si>
    <t>&gt; 18%</t>
  </si>
  <si>
    <t>Hitel tőkefedezettségi mutatók</t>
  </si>
  <si>
    <t>&gt; 28%</t>
  </si>
  <si>
    <t>NPL aránya az összes hitelhez</t>
  </si>
  <si>
    <t>&gt; 8%</t>
  </si>
  <si>
    <t>Hitelállomány az összes eszközhöz viszonyítva</t>
  </si>
  <si>
    <t>&gt; 80%</t>
  </si>
  <si>
    <t>Bevételarányos költség</t>
  </si>
  <si>
    <t>&gt; 40%</t>
  </si>
  <si>
    <t>Eszközarányos költség</t>
  </si>
  <si>
    <t>&gt; 12%</t>
  </si>
  <si>
    <t>&gt; 14%</t>
  </si>
  <si>
    <t>&gt; 3%</t>
  </si>
  <si>
    <t>Likviditási mutatók</t>
  </si>
  <si>
    <t>&gt; 35%</t>
  </si>
  <si>
    <t>&gt; 120%</t>
  </si>
  <si>
    <t>&gt; 4%</t>
  </si>
  <si>
    <t>13,9% - 12,0%</t>
  </si>
  <si>
    <t>11,9% - 10,0%</t>
  </si>
  <si>
    <t>9,9% - 8,0%</t>
  </si>
  <si>
    <t>&lt; 7,9%</t>
  </si>
  <si>
    <t>17,9% - 15,0%</t>
  </si>
  <si>
    <t>14,9% - 10,0%</t>
  </si>
  <si>
    <t>9,9% - 6,0%</t>
  </si>
  <si>
    <t>&lt; 5,9%</t>
  </si>
  <si>
    <t>27,9% - 20%</t>
  </si>
  <si>
    <t>19,9% - 12%</t>
  </si>
  <si>
    <t>11,9% - 4%</t>
  </si>
  <si>
    <t>&lt; 3,9%</t>
  </si>
  <si>
    <t>&lt; 2,9%</t>
  </si>
  <si>
    <t>3% - 4,9%</t>
  </si>
  <si>
    <t>5% - 5,9%</t>
  </si>
  <si>
    <t>6% - 7,9%</t>
  </si>
  <si>
    <t>&lt; 49,9%</t>
  </si>
  <si>
    <t>50% - 59,9%</t>
  </si>
  <si>
    <t>60% - 69,9%</t>
  </si>
  <si>
    <t>70% - 79,9%</t>
  </si>
  <si>
    <t>&lt; 29,9%</t>
  </si>
  <si>
    <t>30% - 49,9%</t>
  </si>
  <si>
    <t>60% - 79,9%</t>
  </si>
  <si>
    <t>39,9% - 25%</t>
  </si>
  <si>
    <t>24,9% - 10%</t>
  </si>
  <si>
    <t>9,9% - 5%</t>
  </si>
  <si>
    <t>&lt; 4,9%</t>
  </si>
  <si>
    <t>&lt; 0,9%</t>
  </si>
  <si>
    <t>1% - 3,9%</t>
  </si>
  <si>
    <t>4% - 7,9%</t>
  </si>
  <si>
    <t>8% - 11,9%</t>
  </si>
  <si>
    <t>&gt; 16%</t>
  </si>
  <si>
    <t>15,9% - 14%</t>
  </si>
  <si>
    <t>13,9% - 12%</t>
  </si>
  <si>
    <t>11,9% -10%</t>
  </si>
  <si>
    <t>&lt; 9,9%</t>
  </si>
  <si>
    <t>&gt; 2,6%</t>
  </si>
  <si>
    <t>2,5% - 2,1%</t>
  </si>
  <si>
    <t>2% -1%</t>
  </si>
  <si>
    <t>0,9% - 0,5%</t>
  </si>
  <si>
    <t>&lt; 0,4%</t>
  </si>
  <si>
    <t>2,9% - 2%</t>
  </si>
  <si>
    <t>1,9% - 1%</t>
  </si>
  <si>
    <t>34,9% - 25%</t>
  </si>
  <si>
    <t>24,9% - 15%</t>
  </si>
  <si>
    <t>14,9% - 10%</t>
  </si>
  <si>
    <t>&lt; 89,9%</t>
  </si>
  <si>
    <t>90% - 99,9%</t>
  </si>
  <si>
    <t>100% - 109,9%</t>
  </si>
  <si>
    <t>110% - 119,9%</t>
  </si>
  <si>
    <t>3,9% - 3%</t>
  </si>
  <si>
    <t>Értékelés</t>
  </si>
  <si>
    <t>Leírás</t>
  </si>
  <si>
    <t>Erős</t>
  </si>
  <si>
    <t>Marginális</t>
  </si>
  <si>
    <t>ű</t>
  </si>
  <si>
    <t>Összetett tartomány</t>
  </si>
  <si>
    <t>Jelentése</t>
  </si>
  <si>
    <t>1.00 - 1.49</t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</si>
  <si>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Alapvetően minden tekintetben egészséges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</si>
  <si>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A megállapítások kisebb jelentőségűek és rutinszerűen kezelhetők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</si>
  <si>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Ellenálló a külső gazdasági és pénzügyi zavarokkal szemben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</si>
  <si>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Nincs ok felügyeleti aggodalomra</t>
    </r>
  </si>
  <si>
    <t>1.5 - 2.49</t>
  </si>
  <si>
    <t>Elégséges</t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</si>
  <si>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Alapvetően szilárd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</si>
  <si>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Stabil és jól bírja az üzleti ingadozásokat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</si>
  <si>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A felügyeleti aggályok a megállapítások kijavításának mértékére korlátozódnak</t>
    </r>
  </si>
  <si>
    <t>2.50 - 3.49</t>
  </si>
  <si>
    <t>Fair</t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</si>
  <si>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A pénzügyi, működési vagy megfelelési hiányosságok a közepesen súlyosaktól a nem kielégítőig terjednek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</si>
  <si>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Érzékeny a kedvezőtlen üzleti feltételek kialakulására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</si>
  <si>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Könnyen romlik, ha az intézkedések nem hatékonyak a gyengeségek kijavításában.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</si>
  <si>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Felügyeleti aggályok és a szokásosnál több felügyelet a hiányosságok kezelésére</t>
    </r>
  </si>
  <si>
    <t>3.50 - 4.49</t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</si>
  <si>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Súlyos pénzügyi hiányosságok mérsékelt volumene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</si>
  <si>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Bizonytalan és nem biztonságos körülmények létezhetnek, amelyeket nem kezelnek kielégítően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</si>
  <si>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Korrekciók nélkül ezek a feltételek tovább fejlődhetnek, és ronthatják a jövőbeli életképességet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</si>
  <si>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Nagy a hibalehetőség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</si>
  <si>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Szoros felügyeleti felügyelet és határozott terv a hiányosságok kijavítására</t>
    </r>
  </si>
  <si>
    <t>4.50 - 5.00</t>
  </si>
  <si>
    <t>Nem kielégítő</t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</si>
  <si>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Nagy azonnali vagy rövid távú valószínűségű meghibásodás</t>
    </r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</si>
  <si>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A hiányosságok súlyossága olyan kritikus, hogy sürgős</t>
    </r>
  </si>
  <si>
    <t>segítségre van szükség a részvényesek vagy más pénzügyi források részéről</t>
  </si>
  <si>
    <r>
      <t>¨</t>
    </r>
    <r>
      <rPr>
        <sz val="7"/>
        <color rgb="FF000000"/>
        <rFont val="Times New Roman"/>
        <family val="1"/>
        <charset val="238"/>
      </rPr>
      <t xml:space="preserve">   </t>
    </r>
    <r>
      <rPr>
        <sz val="11"/>
        <color rgb="FF000000"/>
        <rFont val="Calibri"/>
        <family val="2"/>
        <charset val="238"/>
      </rPr>
      <t>Azonnali korrekciós intézkedések nélkül valószínűleg felszámolásra, egyesülésre vagy felvásárlásra lesz szükség</t>
    </r>
  </si>
  <si>
    <t>Rangsor</t>
  </si>
  <si>
    <t>Bank</t>
  </si>
  <si>
    <t>Érték</t>
  </si>
  <si>
    <t>Vakıf Katılım Bankası A.Ş.</t>
  </si>
  <si>
    <t>Kuveyt Türk Katılım Bankası A.Ş.</t>
  </si>
  <si>
    <t>Türkiye Emlak Katılım Bankası A.Ş.</t>
  </si>
  <si>
    <t>Türkiye Finans Katılım Bankası A.Ş.</t>
  </si>
  <si>
    <t>Albaraka Türk Katılım Bankası A.Ş.</t>
  </si>
  <si>
    <t>Ziraat Katılım Bankası A.Ş.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</si>
</sst>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_-;\-* #,##0_-;_-* &quot;-&quot;??_-;_-@_-"/>
    <numFmt numFmtId="165" formatCode="_-* #,##0.00000_-;\-* #,##0.00000_-;_-* &quot;-&quot;??_-;_-@_-"/>
    <numFmt numFmtId="166" formatCode="0.0%"/>
    <numFmt numFmtId="167" formatCode="_-* #,##0.0_-;\-* #,##0.0_-;_-* &quot;-&quot;??_-;_-@_-"/>
    <numFmt numFmtId="168" formatCode="\+0.0%"/>
    <numFmt numFmtId="169" formatCode="_-* #,##0.000_-;\-* #,##0.000_-;_-* &quot;-&quot;??_-;_-@_-"/>
  </numFmts>
  <fonts count="42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color theme="1"/>
      <name val="Times New Roman,Bold"/>
      <charset val="238"/>
    </font>
    <font>
      <sz val="11"/>
      <color rgb="FFFF0000"/>
      <name val="Times New Roman"/>
      <family val="1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theme="9" tint="-0.249977111117893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,Bold"/>
      <charset val="238"/>
    </font>
    <font>
      <b/>
      <sz val="1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rgb="FF000000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7" tint="-0.249977111117893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theme="7" tint="-0.249977111117893"/>
      <name val="Times New Roman"/>
      <family val="1"/>
      <charset val="238"/>
    </font>
    <font>
      <b/>
      <sz val="11"/>
      <color theme="7" tint="-0.249977111117893"/>
      <name val="Calibri"/>
      <family val="2"/>
      <charset val="238"/>
      <scheme val="minor"/>
    </font>
    <font>
      <b/>
      <sz val="22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b/>
      <sz val="10"/>
      <color rgb="FFFF0000"/>
      <name val="Times New Roman"/>
      <family val="1"/>
      <charset val="238"/>
    </font>
    <font>
      <sz val="11"/>
      <color theme="7" tint="-0.249977111117893"/>
      <name val="Calibri"/>
      <family val="2"/>
      <charset val="238"/>
      <scheme val="minor"/>
    </font>
    <font>
      <b/>
      <sz val="10"/>
      <color theme="7" tint="-0.249977111117893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1"/>
      <color rgb="FF000000"/>
      <name val="Symbol"/>
      <family val="1"/>
      <charset val="2"/>
    </font>
    <font>
      <sz val="7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theme="5"/>
        <bgColor indexed="64"/>
      </patternFill>
    </fill>
  </fills>
  <borders count="5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7" tint="-0.499984740745262"/>
      </left>
      <right/>
      <top style="medium">
        <color theme="7" tint="-0.499984740745262"/>
      </top>
      <bottom style="medium">
        <color indexed="64"/>
      </bottom>
      <diagonal/>
    </border>
    <border>
      <left/>
      <right/>
      <top style="medium">
        <color theme="7" tint="-0.499984740745262"/>
      </top>
      <bottom style="medium">
        <color indexed="64"/>
      </bottom>
      <diagonal/>
    </border>
    <border>
      <left/>
      <right style="medium">
        <color theme="7" tint="-0.499984740745262"/>
      </right>
      <top style="medium">
        <color theme="7" tint="-0.499984740745262"/>
      </top>
      <bottom style="medium">
        <color indexed="64"/>
      </bottom>
      <diagonal/>
    </border>
    <border>
      <left style="medium">
        <color theme="7" tint="-0.499984740745262"/>
      </left>
      <right/>
      <top style="medium">
        <color indexed="64"/>
      </top>
      <bottom/>
      <diagonal/>
    </border>
    <border>
      <left/>
      <right style="medium">
        <color theme="7" tint="-0.499984740745262"/>
      </right>
      <top style="medium">
        <color indexed="64"/>
      </top>
      <bottom/>
      <diagonal/>
    </border>
    <border>
      <left style="medium">
        <color theme="7" tint="-0.499984740745262"/>
      </left>
      <right/>
      <top/>
      <bottom/>
      <diagonal/>
    </border>
    <border>
      <left/>
      <right style="medium">
        <color theme="7" tint="-0.499984740745262"/>
      </right>
      <top/>
      <bottom/>
      <diagonal/>
    </border>
    <border>
      <left style="medium">
        <color theme="7" tint="-0.499984740745262"/>
      </left>
      <right/>
      <top/>
      <bottom style="medium">
        <color theme="7" tint="-0.499984740745262"/>
      </bottom>
      <diagonal/>
    </border>
    <border>
      <left/>
      <right/>
      <top/>
      <bottom style="medium">
        <color theme="7" tint="-0.499984740745262"/>
      </bottom>
      <diagonal/>
    </border>
    <border>
      <left/>
      <right style="medium">
        <color theme="7" tint="-0.499984740745262"/>
      </right>
      <top/>
      <bottom style="medium">
        <color theme="7" tint="-0.499984740745262"/>
      </bottom>
      <diagonal/>
    </border>
    <border>
      <left style="medium">
        <color indexed="64"/>
      </left>
      <right style="medium">
        <color theme="7" tint="-0.499984740745262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23" fillId="0" borderId="0"/>
  </cellStyleXfs>
  <cellXfs count="381">
    <xf numFmtId="0" fontId="0" fillId="0" borderId="0" xfId="0"/>
    <xf numFmtId="0" fontId="0" fillId="0" borderId="0" xfId="0" applyBorder="1"/>
    <xf numFmtId="0" fontId="4" fillId="0" borderId="0" xfId="0" applyFont="1"/>
    <xf numFmtId="0" fontId="3" fillId="2" borderId="0" xfId="0" applyFont="1" applyFill="1" applyBorder="1"/>
    <xf numFmtId="164" fontId="3" fillId="0" borderId="0" xfId="2" applyNumberFormat="1" applyFont="1" applyBorder="1"/>
    <xf numFmtId="164" fontId="3" fillId="3" borderId="0" xfId="2" applyNumberFormat="1" applyFont="1" applyFill="1" applyBorder="1"/>
    <xf numFmtId="164" fontId="3" fillId="3" borderId="8" xfId="2" applyNumberFormat="1" applyFont="1" applyFill="1" applyBorder="1"/>
    <xf numFmtId="0" fontId="4" fillId="0" borderId="0" xfId="0" applyFont="1" applyBorder="1"/>
    <xf numFmtId="0" fontId="4" fillId="3" borderId="0" xfId="0" applyFont="1" applyFill="1" applyBorder="1"/>
    <xf numFmtId="0" fontId="4" fillId="3" borderId="8" xfId="0" applyFont="1" applyFill="1" applyBorder="1"/>
    <xf numFmtId="164" fontId="4" fillId="0" borderId="0" xfId="2" applyNumberFormat="1" applyFont="1" applyBorder="1"/>
    <xf numFmtId="164" fontId="4" fillId="3" borderId="0" xfId="2" applyNumberFormat="1" applyFont="1" applyFill="1" applyBorder="1"/>
    <xf numFmtId="164" fontId="4" fillId="0" borderId="0" xfId="2" applyNumberFormat="1" applyFont="1" applyBorder="1" applyAlignment="1">
      <alignment horizontal="center" vertical="center"/>
    </xf>
    <xf numFmtId="164" fontId="4" fillId="3" borderId="0" xfId="2" applyNumberFormat="1" applyFont="1" applyFill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Fill="1" applyBorder="1"/>
    <xf numFmtId="0" fontId="4" fillId="0" borderId="0" xfId="0" applyFont="1" applyFill="1"/>
    <xf numFmtId="0" fontId="4" fillId="3" borderId="0" xfId="0" applyFont="1" applyFill="1"/>
    <xf numFmtId="0" fontId="3" fillId="0" borderId="0" xfId="0" applyFont="1"/>
    <xf numFmtId="164" fontId="8" fillId="0" borderId="0" xfId="2" applyNumberFormat="1" applyFont="1" applyBorder="1"/>
    <xf numFmtId="164" fontId="8" fillId="3" borderId="0" xfId="2" applyNumberFormat="1" applyFont="1" applyFill="1" applyBorder="1"/>
    <xf numFmtId="164" fontId="8" fillId="3" borderId="8" xfId="2" applyNumberFormat="1" applyFont="1" applyFill="1" applyBorder="1"/>
    <xf numFmtId="164" fontId="4" fillId="0" borderId="0" xfId="2" applyNumberFormat="1" applyFont="1" applyFill="1" applyBorder="1" applyAlignment="1">
      <alignment horizontal="center" vertical="center"/>
    </xf>
    <xf numFmtId="164" fontId="10" fillId="0" borderId="0" xfId="2" applyNumberFormat="1" applyFont="1" applyBorder="1"/>
    <xf numFmtId="164" fontId="10" fillId="3" borderId="0" xfId="2" applyNumberFormat="1" applyFont="1" applyFill="1" applyBorder="1"/>
    <xf numFmtId="164" fontId="8" fillId="0" borderId="0" xfId="2" applyNumberFormat="1" applyFont="1" applyBorder="1" applyAlignment="1">
      <alignment horizontal="center" vertical="center"/>
    </xf>
    <xf numFmtId="164" fontId="8" fillId="3" borderId="0" xfId="2" applyNumberFormat="1" applyFont="1" applyFill="1" applyBorder="1" applyAlignment="1">
      <alignment horizontal="center" vertical="center"/>
    </xf>
    <xf numFmtId="164" fontId="8" fillId="3" borderId="8" xfId="2" applyNumberFormat="1" applyFont="1" applyFill="1" applyBorder="1" applyAlignment="1">
      <alignment horizontal="center" vertical="center"/>
    </xf>
    <xf numFmtId="164" fontId="8" fillId="0" borderId="0" xfId="2" applyNumberFormat="1" applyFont="1" applyBorder="1" applyAlignment="1">
      <alignment vertical="center"/>
    </xf>
    <xf numFmtId="164" fontId="8" fillId="3" borderId="0" xfId="2" applyNumberFormat="1" applyFont="1" applyFill="1" applyBorder="1" applyAlignment="1">
      <alignment vertical="center"/>
    </xf>
    <xf numFmtId="164" fontId="8" fillId="3" borderId="8" xfId="2" applyNumberFormat="1" applyFont="1" applyFill="1" applyBorder="1" applyAlignment="1">
      <alignment vertical="center"/>
    </xf>
    <xf numFmtId="164" fontId="8" fillId="0" borderId="0" xfId="2" applyNumberFormat="1" applyFont="1" applyFill="1" applyBorder="1" applyAlignment="1">
      <alignment horizontal="center" vertical="center"/>
    </xf>
    <xf numFmtId="164" fontId="10" fillId="3" borderId="8" xfId="2" applyNumberFormat="1" applyFont="1" applyFill="1" applyBorder="1"/>
    <xf numFmtId="0" fontId="10" fillId="0" borderId="0" xfId="0" applyFont="1"/>
    <xf numFmtId="164" fontId="3" fillId="0" borderId="0" xfId="2" applyNumberFormat="1" applyFont="1"/>
    <xf numFmtId="164" fontId="15" fillId="0" borderId="0" xfId="2" applyNumberFormat="1" applyFont="1" applyBorder="1"/>
    <xf numFmtId="164" fontId="15" fillId="3" borderId="0" xfId="2" applyNumberFormat="1" applyFont="1" applyFill="1" applyBorder="1"/>
    <xf numFmtId="164" fontId="15" fillId="3" borderId="8" xfId="2" applyNumberFormat="1" applyFont="1" applyFill="1" applyBorder="1"/>
    <xf numFmtId="164" fontId="4" fillId="0" borderId="0" xfId="2" applyNumberFormat="1" applyFont="1" applyBorder="1" applyAlignment="1">
      <alignment horizontal="right" vertical="center"/>
    </xf>
    <xf numFmtId="164" fontId="4" fillId="3" borderId="0" xfId="2" applyNumberFormat="1" applyFont="1" applyFill="1" applyBorder="1" applyAlignment="1">
      <alignment horizontal="right" vertical="center"/>
    </xf>
    <xf numFmtId="164" fontId="8" fillId="0" borderId="0" xfId="2" applyNumberFormat="1" applyFont="1" applyBorder="1" applyAlignment="1">
      <alignment horizontal="right" vertical="center"/>
    </xf>
    <xf numFmtId="164" fontId="8" fillId="3" borderId="0" xfId="2" applyNumberFormat="1" applyFont="1" applyFill="1" applyBorder="1" applyAlignment="1">
      <alignment horizontal="right" vertical="center"/>
    </xf>
    <xf numFmtId="164" fontId="3" fillId="0" borderId="0" xfId="2" applyNumberFormat="1" applyFont="1" applyBorder="1" applyAlignment="1">
      <alignment horizontal="right" vertical="center"/>
    </xf>
    <xf numFmtId="164" fontId="3" fillId="3" borderId="0" xfId="2" applyNumberFormat="1" applyFont="1" applyFill="1" applyBorder="1" applyAlignment="1">
      <alignment horizontal="right" vertical="center"/>
    </xf>
    <xf numFmtId="164" fontId="15" fillId="0" borderId="0" xfId="2" applyNumberFormat="1" applyFont="1" applyBorder="1" applyAlignment="1">
      <alignment horizontal="right" vertical="center"/>
    </xf>
    <xf numFmtId="164" fontId="15" fillId="3" borderId="0" xfId="2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3" borderId="0" xfId="0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3" borderId="0" xfId="0" applyFont="1" applyFill="1" applyBorder="1" applyAlignment="1">
      <alignment horizontal="right" vertical="center"/>
    </xf>
    <xf numFmtId="164" fontId="10" fillId="0" borderId="0" xfId="2" applyNumberFormat="1" applyFont="1" applyBorder="1" applyAlignment="1">
      <alignment horizontal="right" vertical="center"/>
    </xf>
    <xf numFmtId="164" fontId="10" fillId="3" borderId="0" xfId="2" applyNumberFormat="1" applyFont="1" applyFill="1" applyBorder="1" applyAlignment="1">
      <alignment horizontal="right" vertical="center"/>
    </xf>
    <xf numFmtId="0" fontId="10" fillId="0" borderId="0" xfId="0" applyFont="1" applyBorder="1"/>
    <xf numFmtId="164" fontId="3" fillId="0" borderId="0" xfId="0" applyNumberFormat="1" applyFont="1" applyBorder="1" applyAlignment="1">
      <alignment horizontal="right" vertical="center"/>
    </xf>
    <xf numFmtId="0" fontId="15" fillId="0" borderId="0" xfId="0" applyFont="1"/>
    <xf numFmtId="164" fontId="3" fillId="3" borderId="0" xfId="0" applyNumberFormat="1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right" wrapText="1"/>
    </xf>
    <xf numFmtId="0" fontId="12" fillId="2" borderId="0" xfId="0" applyFont="1" applyFill="1" applyAlignment="1">
      <alignment horizontal="right" vertical="center" wrapText="1"/>
    </xf>
    <xf numFmtId="0" fontId="13" fillId="2" borderId="0" xfId="0" applyFont="1" applyFill="1" applyBorder="1" applyAlignment="1">
      <alignment horizontal="right"/>
    </xf>
    <xf numFmtId="0" fontId="4" fillId="2" borderId="0" xfId="0" applyFont="1" applyFill="1" applyBorder="1" applyAlignment="1">
      <alignment horizontal="right" wrapText="1"/>
    </xf>
    <xf numFmtId="0" fontId="7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 wrapText="1"/>
    </xf>
    <xf numFmtId="0" fontId="4" fillId="2" borderId="7" xfId="0" applyFont="1" applyFill="1" applyBorder="1" applyAlignment="1">
      <alignment horizontal="right" wrapText="1"/>
    </xf>
    <xf numFmtId="0" fontId="15" fillId="2" borderId="0" xfId="0" applyFont="1" applyFill="1" applyAlignment="1">
      <alignment horizontal="right" vertical="center" wrapText="1"/>
    </xf>
    <xf numFmtId="0" fontId="10" fillId="2" borderId="7" xfId="0" applyFont="1" applyFill="1" applyBorder="1" applyAlignment="1">
      <alignment horizontal="right"/>
    </xf>
    <xf numFmtId="0" fontId="16" fillId="0" borderId="0" xfId="0" applyFont="1"/>
    <xf numFmtId="0" fontId="4" fillId="0" borderId="12" xfId="0" applyFont="1" applyBorder="1"/>
    <xf numFmtId="164" fontId="4" fillId="0" borderId="13" xfId="2" applyNumberFormat="1" applyFont="1" applyBorder="1"/>
    <xf numFmtId="164" fontId="4" fillId="0" borderId="0" xfId="2" applyNumberFormat="1" applyFont="1" applyFill="1" applyBorder="1"/>
    <xf numFmtId="0" fontId="3" fillId="0" borderId="13" xfId="0" applyFont="1" applyBorder="1"/>
    <xf numFmtId="0" fontId="3" fillId="0" borderId="12" xfId="0" applyFont="1" applyBorder="1"/>
    <xf numFmtId="43" fontId="4" fillId="0" borderId="0" xfId="2" applyNumberFormat="1" applyFont="1" applyBorder="1"/>
    <xf numFmtId="43" fontId="4" fillId="0" borderId="0" xfId="0" applyNumberFormat="1" applyFont="1" applyBorder="1"/>
    <xf numFmtId="165" fontId="4" fillId="0" borderId="0" xfId="2" applyNumberFormat="1" applyFont="1" applyBorder="1" applyAlignment="1">
      <alignment horizontal="right"/>
    </xf>
    <xf numFmtId="164" fontId="4" fillId="0" borderId="0" xfId="2" applyNumberFormat="1" applyFont="1" applyBorder="1" applyAlignment="1">
      <alignment horizontal="right"/>
    </xf>
    <xf numFmtId="164" fontId="4" fillId="0" borderId="0" xfId="2" applyNumberFormat="1" applyFont="1" applyFill="1" applyBorder="1" applyAlignment="1">
      <alignment horizontal="right"/>
    </xf>
    <xf numFmtId="9" fontId="4" fillId="0" borderId="0" xfId="1" applyFont="1" applyBorder="1"/>
    <xf numFmtId="0" fontId="4" fillId="5" borderId="0" xfId="0" applyFont="1" applyFill="1" applyAlignment="1">
      <alignment horizontal="right"/>
    </xf>
    <xf numFmtId="0" fontId="12" fillId="2" borderId="0" xfId="0" applyFont="1" applyFill="1" applyAlignment="1">
      <alignment horizontal="right" vertical="center"/>
    </xf>
    <xf numFmtId="0" fontId="19" fillId="2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center"/>
    </xf>
    <xf numFmtId="164" fontId="4" fillId="2" borderId="0" xfId="2" applyNumberFormat="1" applyFont="1" applyFill="1" applyBorder="1" applyAlignment="1">
      <alignment horizontal="center" vertical="center"/>
    </xf>
    <xf numFmtId="164" fontId="8" fillId="2" borderId="0" xfId="2" applyNumberFormat="1" applyFont="1" applyFill="1" applyBorder="1" applyAlignment="1">
      <alignment horizontal="center" vertical="center"/>
    </xf>
    <xf numFmtId="164" fontId="8" fillId="2" borderId="0" xfId="2" applyNumberFormat="1" applyFont="1" applyFill="1" applyBorder="1" applyAlignment="1">
      <alignment vertical="center"/>
    </xf>
    <xf numFmtId="164" fontId="10" fillId="5" borderId="0" xfId="2" applyNumberFormat="1" applyFont="1" applyFill="1" applyBorder="1"/>
    <xf numFmtId="0" fontId="19" fillId="2" borderId="12" xfId="0" applyFont="1" applyFill="1" applyBorder="1" applyAlignment="1">
      <alignment horizontal="right" vertical="center"/>
    </xf>
    <xf numFmtId="0" fontId="12" fillId="2" borderId="12" xfId="0" applyFont="1" applyFill="1" applyBorder="1" applyAlignment="1">
      <alignment horizontal="right" vertical="center"/>
    </xf>
    <xf numFmtId="164" fontId="8" fillId="2" borderId="13" xfId="2" applyNumberFormat="1" applyFont="1" applyFill="1" applyBorder="1" applyAlignment="1">
      <alignment horizontal="center" vertical="center"/>
    </xf>
    <xf numFmtId="164" fontId="8" fillId="2" borderId="13" xfId="2" applyNumberFormat="1" applyFont="1" applyFill="1" applyBorder="1" applyAlignment="1">
      <alignment vertical="center"/>
    </xf>
    <xf numFmtId="0" fontId="15" fillId="2" borderId="12" xfId="0" applyFont="1" applyFill="1" applyBorder="1" applyAlignment="1">
      <alignment horizontal="right" vertical="center" wrapText="1"/>
    </xf>
    <xf numFmtId="0" fontId="19" fillId="5" borderId="12" xfId="0" applyFont="1" applyFill="1" applyBorder="1" applyAlignment="1">
      <alignment horizontal="right" vertical="center"/>
    </xf>
    <xf numFmtId="0" fontId="19" fillId="6" borderId="12" xfId="0" applyFont="1" applyFill="1" applyBorder="1" applyAlignment="1">
      <alignment horizontal="right" vertical="center"/>
    </xf>
    <xf numFmtId="0" fontId="4" fillId="0" borderId="0" xfId="0" applyFont="1" applyAlignment="1">
      <alignment vertical="center"/>
    </xf>
    <xf numFmtId="164" fontId="4" fillId="2" borderId="0" xfId="2" applyNumberFormat="1" applyFont="1" applyFill="1" applyBorder="1" applyAlignment="1">
      <alignment vertical="center"/>
    </xf>
    <xf numFmtId="164" fontId="4" fillId="2" borderId="13" xfId="2" applyNumberFormat="1" applyFont="1" applyFill="1" applyBorder="1" applyAlignment="1">
      <alignment vertical="center"/>
    </xf>
    <xf numFmtId="164" fontId="4" fillId="2" borderId="16" xfId="2" applyNumberFormat="1" applyFont="1" applyFill="1" applyBorder="1" applyAlignment="1">
      <alignment vertical="center"/>
    </xf>
    <xf numFmtId="0" fontId="5" fillId="2" borderId="12" xfId="0" applyFont="1" applyFill="1" applyBorder="1" applyAlignment="1">
      <alignment horizontal="right" vertical="center" wrapText="1"/>
    </xf>
    <xf numFmtId="164" fontId="3" fillId="2" borderId="0" xfId="2" applyNumberFormat="1" applyFont="1" applyFill="1" applyBorder="1" applyAlignment="1">
      <alignment vertical="center"/>
    </xf>
    <xf numFmtId="164" fontId="3" fillId="2" borderId="13" xfId="2" applyNumberFormat="1" applyFont="1" applyFill="1" applyBorder="1" applyAlignment="1">
      <alignment vertical="center"/>
    </xf>
    <xf numFmtId="0" fontId="4" fillId="2" borderId="12" xfId="0" applyFont="1" applyFill="1" applyBorder="1" applyAlignment="1">
      <alignment horizontal="right" vertical="center" wrapText="1"/>
    </xf>
    <xf numFmtId="0" fontId="3" fillId="2" borderId="12" xfId="0" applyFont="1" applyFill="1" applyBorder="1" applyAlignment="1">
      <alignment horizontal="right" vertical="center" wrapText="1"/>
    </xf>
    <xf numFmtId="164" fontId="15" fillId="2" borderId="16" xfId="2" applyNumberFormat="1" applyFont="1" applyFill="1" applyBorder="1" applyAlignment="1">
      <alignment vertical="center"/>
    </xf>
    <xf numFmtId="164" fontId="15" fillId="2" borderId="0" xfId="2" applyNumberFormat="1" applyFont="1" applyFill="1" applyBorder="1" applyAlignment="1">
      <alignment vertical="center"/>
    </xf>
    <xf numFmtId="164" fontId="15" fillId="2" borderId="13" xfId="2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0" fillId="2" borderId="12" xfId="0" applyFont="1" applyFill="1" applyBorder="1" applyAlignment="1">
      <alignment horizontal="right" vertical="center"/>
    </xf>
    <xf numFmtId="164" fontId="10" fillId="2" borderId="0" xfId="2" applyNumberFormat="1" applyFont="1" applyFill="1" applyBorder="1" applyAlignment="1">
      <alignment vertical="center"/>
    </xf>
    <xf numFmtId="164" fontId="10" fillId="2" borderId="13" xfId="2" applyNumberFormat="1" applyFont="1" applyFill="1" applyBorder="1" applyAlignment="1">
      <alignment vertical="center"/>
    </xf>
    <xf numFmtId="164" fontId="10" fillId="2" borderId="16" xfId="2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4" fontId="10" fillId="5" borderId="0" xfId="2" applyNumberFormat="1" applyFont="1" applyFill="1" applyBorder="1" applyAlignment="1">
      <alignment vertical="center"/>
    </xf>
    <xf numFmtId="164" fontId="10" fillId="5" borderId="13" xfId="2" applyNumberFormat="1" applyFont="1" applyFill="1" applyBorder="1" applyAlignment="1">
      <alignment vertical="center"/>
    </xf>
    <xf numFmtId="164" fontId="4" fillId="5" borderId="16" xfId="0" applyNumberFormat="1" applyFont="1" applyFill="1" applyBorder="1" applyAlignment="1">
      <alignment vertical="center"/>
    </xf>
    <xf numFmtId="0" fontId="4" fillId="5" borderId="12" xfId="0" applyFont="1" applyFill="1" applyBorder="1" applyAlignment="1">
      <alignment horizontal="right" vertical="center"/>
    </xf>
    <xf numFmtId="0" fontId="4" fillId="5" borderId="0" xfId="0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5" borderId="16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4" fontId="4" fillId="6" borderId="0" xfId="2" applyNumberFormat="1" applyFont="1" applyFill="1" applyBorder="1" applyAlignment="1">
      <alignment vertical="center"/>
    </xf>
    <xf numFmtId="164" fontId="8" fillId="6" borderId="0" xfId="2" applyNumberFormat="1" applyFont="1" applyFill="1" applyBorder="1" applyAlignment="1">
      <alignment vertical="center"/>
    </xf>
    <xf numFmtId="164" fontId="8" fillId="6" borderId="13" xfId="2" applyNumberFormat="1" applyFont="1" applyFill="1" applyBorder="1" applyAlignment="1">
      <alignment vertical="center"/>
    </xf>
    <xf numFmtId="164" fontId="4" fillId="6" borderId="16" xfId="0" applyNumberFormat="1" applyFont="1" applyFill="1" applyBorder="1" applyAlignment="1">
      <alignment vertical="center"/>
    </xf>
    <xf numFmtId="164" fontId="4" fillId="6" borderId="12" xfId="2" applyNumberFormat="1" applyFont="1" applyFill="1" applyBorder="1" applyAlignment="1">
      <alignment horizontal="right" vertical="center"/>
    </xf>
    <xf numFmtId="164" fontId="4" fillId="0" borderId="0" xfId="2" applyNumberFormat="1" applyFont="1" applyAlignment="1">
      <alignment vertical="center"/>
    </xf>
    <xf numFmtId="164" fontId="3" fillId="6" borderId="12" xfId="2" applyNumberFormat="1" applyFont="1" applyFill="1" applyBorder="1" applyAlignment="1">
      <alignment horizontal="right" vertical="center"/>
    </xf>
    <xf numFmtId="164" fontId="3" fillId="6" borderId="0" xfId="2" applyNumberFormat="1" applyFont="1" applyFill="1" applyBorder="1" applyAlignment="1">
      <alignment vertical="center"/>
    </xf>
    <xf numFmtId="164" fontId="17" fillId="6" borderId="0" xfId="2" applyNumberFormat="1" applyFont="1" applyFill="1" applyBorder="1" applyAlignment="1">
      <alignment vertical="center"/>
    </xf>
    <xf numFmtId="164" fontId="17" fillId="6" borderId="13" xfId="2" applyNumberFormat="1" applyFont="1" applyFill="1" applyBorder="1" applyAlignment="1">
      <alignment vertical="center"/>
    </xf>
    <xf numFmtId="164" fontId="3" fillId="6" borderId="16" xfId="0" applyNumberFormat="1" applyFont="1" applyFill="1" applyBorder="1" applyAlignment="1">
      <alignment vertical="center"/>
    </xf>
    <xf numFmtId="164" fontId="3" fillId="0" borderId="0" xfId="2" applyNumberFormat="1" applyFont="1" applyAlignment="1">
      <alignment vertical="center"/>
    </xf>
    <xf numFmtId="0" fontId="4" fillId="6" borderId="12" xfId="0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6" borderId="14" xfId="0" applyFont="1" applyFill="1" applyBorder="1" applyAlignment="1">
      <alignment horizontal="right" vertical="center"/>
    </xf>
    <xf numFmtId="164" fontId="4" fillId="6" borderId="4" xfId="2" applyNumberFormat="1" applyFont="1" applyFill="1" applyBorder="1" applyAlignment="1">
      <alignment vertical="center"/>
    </xf>
    <xf numFmtId="164" fontId="8" fillId="6" borderId="4" xfId="2" applyNumberFormat="1" applyFont="1" applyFill="1" applyBorder="1" applyAlignment="1">
      <alignment vertical="center"/>
    </xf>
    <xf numFmtId="164" fontId="8" fillId="6" borderId="3" xfId="2" applyNumberFormat="1" applyFont="1" applyFill="1" applyBorder="1" applyAlignment="1">
      <alignment vertical="center"/>
    </xf>
    <xf numFmtId="164" fontId="4" fillId="6" borderId="2" xfId="0" applyNumberFormat="1" applyFont="1" applyFill="1" applyBorder="1" applyAlignment="1">
      <alignment vertical="center"/>
    </xf>
    <xf numFmtId="164" fontId="4" fillId="6" borderId="0" xfId="2" applyNumberFormat="1" applyFont="1" applyFill="1" applyBorder="1" applyAlignment="1">
      <alignment horizontal="right" vertical="center"/>
    </xf>
    <xf numFmtId="164" fontId="4" fillId="6" borderId="12" xfId="2" applyNumberFormat="1" applyFont="1" applyFill="1" applyBorder="1" applyAlignment="1">
      <alignment horizontal="right" vertical="center" wrapText="1"/>
    </xf>
    <xf numFmtId="43" fontId="4" fillId="2" borderId="16" xfId="2" applyNumberFormat="1" applyFont="1" applyFill="1" applyBorder="1" applyAlignment="1">
      <alignment vertical="center"/>
    </xf>
    <xf numFmtId="0" fontId="4" fillId="5" borderId="0" xfId="0" applyFont="1" applyFill="1" applyBorder="1" applyAlignment="1">
      <alignment horizontal="right" vertical="center"/>
    </xf>
    <xf numFmtId="0" fontId="20" fillId="2" borderId="12" xfId="0" applyFont="1" applyFill="1" applyBorder="1" applyAlignment="1">
      <alignment horizontal="right" vertical="center" wrapText="1"/>
    </xf>
    <xf numFmtId="164" fontId="3" fillId="2" borderId="16" xfId="2" applyNumberFormat="1" applyFont="1" applyFill="1" applyBorder="1" applyAlignment="1">
      <alignment vertical="center"/>
    </xf>
    <xf numFmtId="0" fontId="15" fillId="2" borderId="0" xfId="0" applyFont="1" applyFill="1" applyBorder="1" applyAlignment="1">
      <alignment horizontal="right"/>
    </xf>
    <xf numFmtId="164" fontId="4" fillId="2" borderId="0" xfId="2" applyNumberFormat="1" applyFont="1" applyFill="1" applyBorder="1" applyAlignment="1">
      <alignment horizontal="right" vertical="center"/>
    </xf>
    <xf numFmtId="164" fontId="4" fillId="2" borderId="13" xfId="2" applyNumberFormat="1" applyFont="1" applyFill="1" applyBorder="1" applyAlignment="1">
      <alignment horizontal="right" vertical="center"/>
    </xf>
    <xf numFmtId="164" fontId="8" fillId="2" borderId="0" xfId="2" applyNumberFormat="1" applyFont="1" applyFill="1" applyBorder="1" applyAlignment="1">
      <alignment horizontal="right" vertical="center"/>
    </xf>
    <xf numFmtId="164" fontId="8" fillId="2" borderId="13" xfId="2" applyNumberFormat="1" applyFont="1" applyFill="1" applyBorder="1" applyAlignment="1">
      <alignment horizontal="right" vertical="center"/>
    </xf>
    <xf numFmtId="164" fontId="3" fillId="2" borderId="0" xfId="2" applyNumberFormat="1" applyFont="1" applyFill="1" applyBorder="1" applyAlignment="1">
      <alignment horizontal="right" vertical="center"/>
    </xf>
    <xf numFmtId="164" fontId="3" fillId="2" borderId="13" xfId="2" applyNumberFormat="1" applyFont="1" applyFill="1" applyBorder="1" applyAlignment="1">
      <alignment horizontal="right" vertical="center"/>
    </xf>
    <xf numFmtId="164" fontId="15" fillId="2" borderId="0" xfId="2" applyNumberFormat="1" applyFont="1" applyFill="1" applyBorder="1" applyAlignment="1">
      <alignment horizontal="right" vertical="center"/>
    </xf>
    <xf numFmtId="164" fontId="15" fillId="2" borderId="13" xfId="2" applyNumberFormat="1" applyFont="1" applyFill="1" applyBorder="1" applyAlignment="1">
      <alignment horizontal="right" vertical="center"/>
    </xf>
    <xf numFmtId="164" fontId="10" fillId="5" borderId="0" xfId="2" applyNumberFormat="1" applyFont="1" applyFill="1" applyBorder="1" applyAlignment="1">
      <alignment horizontal="right" vertical="center"/>
    </xf>
    <xf numFmtId="164" fontId="10" fillId="5" borderId="13" xfId="2" applyNumberFormat="1" applyFont="1" applyFill="1" applyBorder="1" applyAlignment="1">
      <alignment horizontal="right" vertical="center"/>
    </xf>
    <xf numFmtId="0" fontId="4" fillId="5" borderId="13" xfId="0" applyFont="1" applyFill="1" applyBorder="1" applyAlignment="1">
      <alignment horizontal="right" vertical="center"/>
    </xf>
    <xf numFmtId="164" fontId="8" fillId="6" borderId="0" xfId="2" applyNumberFormat="1" applyFont="1" applyFill="1" applyBorder="1" applyAlignment="1">
      <alignment horizontal="right" vertical="center"/>
    </xf>
    <xf numFmtId="164" fontId="8" fillId="6" borderId="13" xfId="2" applyNumberFormat="1" applyFont="1" applyFill="1" applyBorder="1" applyAlignment="1">
      <alignment horizontal="right" vertical="center"/>
    </xf>
    <xf numFmtId="164" fontId="3" fillId="6" borderId="0" xfId="2" applyNumberFormat="1" applyFont="1" applyFill="1" applyBorder="1" applyAlignment="1">
      <alignment horizontal="right" vertical="center"/>
    </xf>
    <xf numFmtId="164" fontId="17" fillId="6" borderId="0" xfId="2" applyNumberFormat="1" applyFont="1" applyFill="1" applyBorder="1" applyAlignment="1">
      <alignment horizontal="right" vertical="center"/>
    </xf>
    <xf numFmtId="164" fontId="4" fillId="6" borderId="4" xfId="2" applyNumberFormat="1" applyFont="1" applyFill="1" applyBorder="1" applyAlignment="1">
      <alignment horizontal="right" vertical="center"/>
    </xf>
    <xf numFmtId="164" fontId="8" fillId="6" borderId="4" xfId="2" applyNumberFormat="1" applyFont="1" applyFill="1" applyBorder="1" applyAlignment="1">
      <alignment horizontal="right" vertical="center"/>
    </xf>
    <xf numFmtId="164" fontId="8" fillId="6" borderId="3" xfId="2" applyNumberFormat="1" applyFont="1" applyFill="1" applyBorder="1" applyAlignment="1">
      <alignment horizontal="right" vertical="center"/>
    </xf>
    <xf numFmtId="0" fontId="15" fillId="2" borderId="12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17" fillId="2" borderId="0" xfId="2" applyNumberFormat="1" applyFont="1" applyFill="1" applyBorder="1" applyAlignment="1">
      <alignment horizontal="right" vertical="center"/>
    </xf>
    <xf numFmtId="164" fontId="17" fillId="2" borderId="13" xfId="2" applyNumberFormat="1" applyFont="1" applyFill="1" applyBorder="1" applyAlignment="1">
      <alignment horizontal="right" vertical="center"/>
    </xf>
    <xf numFmtId="164" fontId="10" fillId="2" borderId="0" xfId="2" applyNumberFormat="1" applyFont="1" applyFill="1" applyBorder="1" applyAlignment="1">
      <alignment horizontal="right" vertical="center"/>
    </xf>
    <xf numFmtId="164" fontId="10" fillId="2" borderId="13" xfId="2" applyNumberFormat="1" applyFont="1" applyFill="1" applyBorder="1" applyAlignment="1">
      <alignment horizontal="right" vertical="center"/>
    </xf>
    <xf numFmtId="0" fontId="11" fillId="2" borderId="12" xfId="0" applyFont="1" applyFill="1" applyBorder="1" applyAlignment="1">
      <alignment horizontal="right" vertical="center" wrapText="1"/>
    </xf>
    <xf numFmtId="164" fontId="15" fillId="6" borderId="0" xfId="2" applyNumberFormat="1" applyFont="1" applyFill="1" applyBorder="1" applyAlignment="1">
      <alignment horizontal="right" vertical="center"/>
    </xf>
    <xf numFmtId="1" fontId="4" fillId="5" borderId="16" xfId="0" applyNumberFormat="1" applyFont="1" applyFill="1" applyBorder="1" applyAlignment="1">
      <alignment vertical="center"/>
    </xf>
    <xf numFmtId="1" fontId="3" fillId="5" borderId="16" xfId="0" applyNumberFormat="1" applyFont="1" applyFill="1" applyBorder="1" applyAlignment="1">
      <alignment vertical="center"/>
    </xf>
    <xf numFmtId="164" fontId="4" fillId="0" borderId="13" xfId="2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  <xf numFmtId="0" fontId="15" fillId="0" borderId="0" xfId="0" applyFont="1" applyFill="1" applyBorder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 wrapText="1"/>
    </xf>
    <xf numFmtId="0" fontId="15" fillId="0" borderId="0" xfId="0" applyFont="1" applyFill="1" applyBorder="1" applyAlignment="1">
      <alignment horizontal="center" vertical="center"/>
    </xf>
    <xf numFmtId="0" fontId="4" fillId="2" borderId="0" xfId="0" applyFont="1" applyFill="1"/>
    <xf numFmtId="0" fontId="15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right" vertical="center" wrapText="1"/>
    </xf>
    <xf numFmtId="0" fontId="3" fillId="0" borderId="10" xfId="0" applyFont="1" applyBorder="1"/>
    <xf numFmtId="164" fontId="4" fillId="0" borderId="10" xfId="2" applyNumberFormat="1" applyFont="1" applyFill="1" applyBorder="1" applyAlignment="1">
      <alignment horizontal="right"/>
    </xf>
    <xf numFmtId="164" fontId="4" fillId="0" borderId="10" xfId="2" applyNumberFormat="1" applyFont="1" applyFill="1" applyBorder="1"/>
    <xf numFmtId="164" fontId="4" fillId="0" borderId="10" xfId="2" applyNumberFormat="1" applyFont="1" applyBorder="1"/>
    <xf numFmtId="0" fontId="4" fillId="2" borderId="0" xfId="0" applyFont="1" applyFill="1" applyBorder="1"/>
    <xf numFmtId="0" fontId="15" fillId="0" borderId="0" xfId="0" applyFont="1" applyFill="1" applyBorder="1" applyAlignment="1">
      <alignment horizontal="left" vertical="center"/>
    </xf>
    <xf numFmtId="0" fontId="4" fillId="0" borderId="9" xfId="0" applyFont="1" applyBorder="1"/>
    <xf numFmtId="0" fontId="3" fillId="0" borderId="11" xfId="0" applyFont="1" applyBorder="1"/>
    <xf numFmtId="167" fontId="4" fillId="0" borderId="0" xfId="2" applyNumberFormat="1" applyFont="1" applyBorder="1"/>
    <xf numFmtId="167" fontId="4" fillId="0" borderId="13" xfId="2" applyNumberFormat="1" applyFont="1" applyBorder="1"/>
    <xf numFmtId="167" fontId="4" fillId="0" borderId="0" xfId="2" applyNumberFormat="1" applyFont="1" applyBorder="1" applyAlignment="1">
      <alignment horizontal="right"/>
    </xf>
    <xf numFmtId="167" fontId="4" fillId="0" borderId="13" xfId="2" applyNumberFormat="1" applyFont="1" applyBorder="1" applyAlignment="1">
      <alignment horizontal="right"/>
    </xf>
    <xf numFmtId="164" fontId="4" fillId="3" borderId="4" xfId="2" applyNumberFormat="1" applyFont="1" applyFill="1" applyBorder="1" applyAlignment="1">
      <alignment horizontal="right"/>
    </xf>
    <xf numFmtId="167" fontId="4" fillId="0" borderId="0" xfId="0" applyNumberFormat="1" applyFont="1" applyBorder="1" applyAlignment="1">
      <alignment horizontal="right"/>
    </xf>
    <xf numFmtId="167" fontId="4" fillId="0" borderId="13" xfId="0" applyNumberFormat="1" applyFont="1" applyBorder="1" applyAlignment="1">
      <alignment horizontal="right"/>
    </xf>
    <xf numFmtId="164" fontId="4" fillId="3" borderId="3" xfId="2" applyNumberFormat="1" applyFont="1" applyFill="1" applyBorder="1" applyAlignment="1">
      <alignment horizontal="right"/>
    </xf>
    <xf numFmtId="0" fontId="24" fillId="0" borderId="0" xfId="0" applyFont="1"/>
    <xf numFmtId="0" fontId="15" fillId="0" borderId="0" xfId="0" applyFont="1" applyFill="1" applyBorder="1" applyAlignment="1">
      <alignment horizontal="left" vertical="center"/>
    </xf>
    <xf numFmtId="0" fontId="25" fillId="8" borderId="21" xfId="0" applyFont="1" applyFill="1" applyBorder="1" applyAlignment="1">
      <alignment horizontal="left"/>
    </xf>
    <xf numFmtId="0" fontId="25" fillId="3" borderId="21" xfId="0" applyFont="1" applyFill="1" applyBorder="1" applyAlignment="1">
      <alignment horizontal="left"/>
    </xf>
    <xf numFmtId="0" fontId="25" fillId="3" borderId="23" xfId="0" applyFont="1" applyFill="1" applyBorder="1" applyAlignment="1">
      <alignment horizontal="left"/>
    </xf>
    <xf numFmtId="164" fontId="25" fillId="3" borderId="19" xfId="2" applyNumberFormat="1" applyFont="1" applyFill="1" applyBorder="1"/>
    <xf numFmtId="164" fontId="25" fillId="3" borderId="22" xfId="2" applyNumberFormat="1" applyFont="1" applyFill="1" applyBorder="1"/>
    <xf numFmtId="0" fontId="26" fillId="3" borderId="24" xfId="0" applyFont="1" applyFill="1" applyBorder="1"/>
    <xf numFmtId="168" fontId="27" fillId="3" borderId="24" xfId="0" applyNumberFormat="1" applyFont="1" applyFill="1" applyBorder="1"/>
    <xf numFmtId="168" fontId="27" fillId="3" borderId="25" xfId="0" applyNumberFormat="1" applyFont="1" applyFill="1" applyBorder="1"/>
    <xf numFmtId="0" fontId="26" fillId="0" borderId="0" xfId="0" applyFont="1"/>
    <xf numFmtId="0" fontId="26" fillId="8" borderId="30" xfId="0" applyFont="1" applyFill="1" applyBorder="1"/>
    <xf numFmtId="0" fontId="25" fillId="8" borderId="31" xfId="0" applyFont="1" applyFill="1" applyBorder="1" applyAlignment="1">
      <alignment horizontal="center"/>
    </xf>
    <xf numFmtId="0" fontId="25" fillId="8" borderId="33" xfId="0" applyFont="1" applyFill="1" applyBorder="1" applyAlignment="1">
      <alignment horizontal="center"/>
    </xf>
    <xf numFmtId="164" fontId="26" fillId="0" borderId="19" xfId="2" applyNumberFormat="1" applyFont="1" applyBorder="1"/>
    <xf numFmtId="164" fontId="26" fillId="0" borderId="22" xfId="2" applyNumberFormat="1" applyFont="1" applyBorder="1"/>
    <xf numFmtId="164" fontId="24" fillId="3" borderId="24" xfId="2" applyNumberFormat="1" applyFont="1" applyFill="1" applyBorder="1" applyAlignment="1">
      <alignment vertical="center"/>
    </xf>
    <xf numFmtId="164" fontId="24" fillId="3" borderId="25" xfId="2" applyNumberFormat="1" applyFont="1" applyFill="1" applyBorder="1" applyAlignment="1">
      <alignment vertical="center"/>
    </xf>
    <xf numFmtId="0" fontId="25" fillId="8" borderId="32" xfId="0" applyFont="1" applyFill="1" applyBorder="1" applyAlignment="1">
      <alignment horizontal="center"/>
    </xf>
    <xf numFmtId="0" fontId="25" fillId="8" borderId="34" xfId="0" applyFont="1" applyFill="1" applyBorder="1" applyAlignment="1">
      <alignment horizontal="center"/>
    </xf>
    <xf numFmtId="166" fontId="26" fillId="0" borderId="19" xfId="2" applyNumberFormat="1" applyFont="1" applyBorder="1"/>
    <xf numFmtId="166" fontId="26" fillId="0" borderId="20" xfId="2" applyNumberFormat="1" applyFont="1" applyBorder="1"/>
    <xf numFmtId="166" fontId="16" fillId="0" borderId="35" xfId="0" applyNumberFormat="1" applyFont="1" applyBorder="1"/>
    <xf numFmtId="0" fontId="16" fillId="0" borderId="35" xfId="0" applyFont="1" applyBorder="1" applyAlignment="1">
      <alignment horizontal="center"/>
    </xf>
    <xf numFmtId="0" fontId="25" fillId="8" borderId="23" xfId="0" applyFont="1" applyFill="1" applyBorder="1" applyAlignment="1">
      <alignment horizontal="left"/>
    </xf>
    <xf numFmtId="166" fontId="26" fillId="0" borderId="24" xfId="2" applyNumberFormat="1" applyFont="1" applyBorder="1"/>
    <xf numFmtId="166" fontId="26" fillId="0" borderId="36" xfId="2" applyNumberFormat="1" applyFont="1" applyBorder="1"/>
    <xf numFmtId="166" fontId="16" fillId="0" borderId="37" xfId="0" applyNumberFormat="1" applyFont="1" applyBorder="1"/>
    <xf numFmtId="0" fontId="16" fillId="0" borderId="37" xfId="0" applyFont="1" applyBorder="1" applyAlignment="1">
      <alignment horizontal="center"/>
    </xf>
    <xf numFmtId="0" fontId="25" fillId="8" borderId="26" xfId="0" applyFont="1" applyFill="1" applyBorder="1" applyAlignment="1">
      <alignment horizontal="left"/>
    </xf>
    <xf numFmtId="166" fontId="11" fillId="0" borderId="27" xfId="2" applyNumberFormat="1" applyFont="1" applyBorder="1"/>
    <xf numFmtId="0" fontId="25" fillId="8" borderId="26" xfId="0" applyFont="1" applyFill="1" applyBorder="1" applyAlignment="1">
      <alignment horizontal="left" vertical="top" wrapText="1"/>
    </xf>
    <xf numFmtId="166" fontId="28" fillId="0" borderId="27" xfId="2" applyNumberFormat="1" applyFont="1" applyBorder="1" applyAlignment="1">
      <alignment horizontal="right" vertical="center"/>
    </xf>
    <xf numFmtId="166" fontId="28" fillId="0" borderId="29" xfId="2" applyNumberFormat="1" applyFont="1" applyBorder="1" applyAlignment="1">
      <alignment horizontal="right" vertical="center"/>
    </xf>
    <xf numFmtId="166" fontId="29" fillId="0" borderId="31" xfId="0" applyNumberFormat="1" applyFont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166" fontId="3" fillId="0" borderId="35" xfId="0" applyNumberFormat="1" applyFont="1" applyBorder="1"/>
    <xf numFmtId="166" fontId="3" fillId="0" borderId="37" xfId="0" applyNumberFormat="1" applyFont="1" applyBorder="1"/>
    <xf numFmtId="0" fontId="4" fillId="0" borderId="41" xfId="0" applyFont="1" applyBorder="1"/>
    <xf numFmtId="0" fontId="3" fillId="0" borderId="42" xfId="0" applyFont="1" applyBorder="1"/>
    <xf numFmtId="0" fontId="3" fillId="0" borderId="43" xfId="0" applyFont="1" applyBorder="1"/>
    <xf numFmtId="164" fontId="4" fillId="0" borderId="44" xfId="2" applyNumberFormat="1" applyFont="1" applyBorder="1"/>
    <xf numFmtId="164" fontId="4" fillId="0" borderId="44" xfId="2" applyNumberFormat="1" applyFont="1" applyBorder="1" applyAlignment="1">
      <alignment horizontal="right"/>
    </xf>
    <xf numFmtId="0" fontId="4" fillId="0" borderId="0" xfId="0" applyFont="1" applyBorder="1" applyAlignment="1"/>
    <xf numFmtId="0" fontId="3" fillId="3" borderId="14" xfId="0" applyFont="1" applyFill="1" applyBorder="1" applyAlignment="1">
      <alignment wrapText="1"/>
    </xf>
    <xf numFmtId="0" fontId="3" fillId="3" borderId="45" xfId="0" applyFont="1" applyFill="1" applyBorder="1" applyAlignment="1">
      <alignment wrapText="1"/>
    </xf>
    <xf numFmtId="164" fontId="4" fillId="3" borderId="4" xfId="2" applyNumberFormat="1" applyFont="1" applyFill="1" applyBorder="1" applyAlignment="1">
      <alignment horizontal="center" vertical="center"/>
    </xf>
    <xf numFmtId="164" fontId="4" fillId="3" borderId="3" xfId="2" applyNumberFormat="1" applyFont="1" applyFill="1" applyBorder="1" applyAlignment="1">
      <alignment horizontal="center" vertical="center"/>
    </xf>
    <xf numFmtId="167" fontId="4" fillId="3" borderId="4" xfId="2" applyNumberFormat="1" applyFont="1" applyFill="1" applyBorder="1" applyAlignment="1">
      <alignment horizontal="center" vertical="center"/>
    </xf>
    <xf numFmtId="167" fontId="4" fillId="3" borderId="3" xfId="2" applyNumberFormat="1" applyFont="1" applyFill="1" applyBorder="1" applyAlignment="1">
      <alignment horizontal="center" vertical="center"/>
    </xf>
    <xf numFmtId="0" fontId="0" fillId="2" borderId="0" xfId="0" applyFill="1"/>
    <xf numFmtId="0" fontId="20" fillId="3" borderId="23" xfId="0" applyFont="1" applyFill="1" applyBorder="1" applyAlignment="1">
      <alignment horizontal="left" wrapText="1"/>
    </xf>
    <xf numFmtId="164" fontId="4" fillId="3" borderId="46" xfId="2" applyNumberFormat="1" applyFont="1" applyFill="1" applyBorder="1" applyAlignment="1">
      <alignment horizontal="center" vertical="center"/>
    </xf>
    <xf numFmtId="164" fontId="4" fillId="3" borderId="47" xfId="2" applyNumberFormat="1" applyFont="1" applyFill="1" applyBorder="1" applyAlignment="1">
      <alignment horizontal="center" vertical="center"/>
    </xf>
    <xf numFmtId="164" fontId="4" fillId="3" borderId="46" xfId="2" applyNumberFormat="1" applyFont="1" applyFill="1" applyBorder="1" applyAlignment="1">
      <alignment horizontal="right" vertical="center"/>
    </xf>
    <xf numFmtId="164" fontId="4" fillId="3" borderId="47" xfId="2" applyNumberFormat="1" applyFont="1" applyFill="1" applyBorder="1" applyAlignment="1">
      <alignment horizontal="right" vertical="center"/>
    </xf>
    <xf numFmtId="166" fontId="11" fillId="0" borderId="27" xfId="2" applyNumberFormat="1" applyFont="1" applyBorder="1" applyAlignment="1">
      <alignment horizontal="right" vertical="center"/>
    </xf>
    <xf numFmtId="168" fontId="32" fillId="3" borderId="24" xfId="0" applyNumberFormat="1" applyFont="1" applyFill="1" applyBorder="1"/>
    <xf numFmtId="168" fontId="32" fillId="3" borderId="25" xfId="0" applyNumberFormat="1" applyFont="1" applyFill="1" applyBorder="1"/>
    <xf numFmtId="166" fontId="27" fillId="3" borderId="24" xfId="0" applyNumberFormat="1" applyFont="1" applyFill="1" applyBorder="1"/>
    <xf numFmtId="0" fontId="4" fillId="0" borderId="0" xfId="0" applyFont="1" applyFill="1" applyBorder="1" applyAlignment="1"/>
    <xf numFmtId="166" fontId="32" fillId="3" borderId="24" xfId="0" applyNumberFormat="1" applyFont="1" applyFill="1" applyBorder="1"/>
    <xf numFmtId="0" fontId="25" fillId="8" borderId="23" xfId="0" applyFont="1" applyFill="1" applyBorder="1" applyAlignment="1">
      <alignment horizontal="left" wrapText="1"/>
    </xf>
    <xf numFmtId="164" fontId="4" fillId="3" borderId="4" xfId="2" applyNumberFormat="1" applyFont="1" applyFill="1" applyBorder="1" applyAlignment="1">
      <alignment horizontal="right" vertical="center"/>
    </xf>
    <xf numFmtId="164" fontId="4" fillId="3" borderId="3" xfId="2" applyNumberFormat="1" applyFont="1" applyFill="1" applyBorder="1" applyAlignment="1">
      <alignment horizontal="right" vertical="center"/>
    </xf>
    <xf numFmtId="0" fontId="33" fillId="0" borderId="0" xfId="0" applyFont="1"/>
    <xf numFmtId="0" fontId="3" fillId="0" borderId="28" xfId="0" applyFont="1" applyBorder="1" applyAlignment="1">
      <alignment horizontal="center"/>
    </xf>
    <xf numFmtId="0" fontId="3" fillId="8" borderId="52" xfId="0" applyFont="1" applyFill="1" applyBorder="1"/>
    <xf numFmtId="0" fontId="3" fillId="8" borderId="35" xfId="0" applyFont="1" applyFill="1" applyBorder="1"/>
    <xf numFmtId="0" fontId="3" fillId="8" borderId="51" xfId="0" applyFont="1" applyFill="1" applyBorder="1"/>
    <xf numFmtId="0" fontId="3" fillId="8" borderId="53" xfId="0" applyFont="1" applyFill="1" applyBorder="1" applyAlignment="1">
      <alignment horizontal="center"/>
    </xf>
    <xf numFmtId="0" fontId="3" fillId="8" borderId="54" xfId="0" applyFont="1" applyFill="1" applyBorder="1" applyAlignment="1">
      <alignment horizontal="center"/>
    </xf>
    <xf numFmtId="0" fontId="3" fillId="8" borderId="55" xfId="0" applyFont="1" applyFill="1" applyBorder="1" applyAlignment="1">
      <alignment horizontal="center"/>
    </xf>
    <xf numFmtId="0" fontId="3" fillId="8" borderId="28" xfId="0" applyFont="1" applyFill="1" applyBorder="1" applyAlignment="1">
      <alignment horizontal="center"/>
    </xf>
    <xf numFmtId="0" fontId="3" fillId="8" borderId="28" xfId="0" applyFont="1" applyFill="1" applyBorder="1"/>
    <xf numFmtId="164" fontId="26" fillId="0" borderId="19" xfId="2" applyNumberFormat="1" applyFont="1" applyBorder="1" applyAlignment="1">
      <alignment horizontal="right" vertical="center"/>
    </xf>
    <xf numFmtId="169" fontId="26" fillId="0" borderId="19" xfId="2" applyNumberFormat="1" applyFont="1" applyBorder="1"/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3" fillId="8" borderId="18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8" borderId="28" xfId="0" applyFill="1" applyBorder="1"/>
    <xf numFmtId="0" fontId="0" fillId="3" borderId="56" xfId="0" applyFill="1" applyBorder="1" applyAlignment="1">
      <alignment horizontal="center" vertical="center"/>
    </xf>
    <xf numFmtId="0" fontId="0" fillId="3" borderId="31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50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3" borderId="34" xfId="0" applyFill="1" applyBorder="1" applyAlignment="1">
      <alignment horizontal="left" vertical="center" wrapText="1"/>
    </xf>
    <xf numFmtId="0" fontId="0" fillId="3" borderId="37" xfId="0" applyFill="1" applyBorder="1" applyAlignment="1">
      <alignment horizontal="left" vertical="center" wrapText="1"/>
    </xf>
    <xf numFmtId="0" fontId="0" fillId="3" borderId="35" xfId="0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/>
    </xf>
    <xf numFmtId="164" fontId="26" fillId="0" borderId="19" xfId="2" applyNumberFormat="1" applyFont="1" applyFill="1" applyBorder="1"/>
    <xf numFmtId="164" fontId="26" fillId="0" borderId="19" xfId="2" applyNumberFormat="1" applyFont="1" applyFill="1" applyBorder="1" applyAlignment="1">
      <alignment horizontal="right" vertical="center"/>
    </xf>
    <xf numFmtId="166" fontId="26" fillId="0" borderId="19" xfId="2" applyNumberFormat="1" applyFont="1" applyFill="1" applyBorder="1"/>
    <xf numFmtId="166" fontId="26" fillId="0" borderId="24" xfId="2" applyNumberFormat="1" applyFont="1" applyFill="1" applyBorder="1"/>
    <xf numFmtId="0" fontId="3" fillId="0" borderId="0" xfId="0" applyFont="1" applyBorder="1" applyAlignment="1"/>
    <xf numFmtId="0" fontId="17" fillId="0" borderId="0" xfId="0" applyFont="1"/>
    <xf numFmtId="2" fontId="4" fillId="0" borderId="49" xfId="1" applyNumberFormat="1" applyFont="1" applyBorder="1" applyAlignment="1">
      <alignment horizontal="center"/>
    </xf>
    <xf numFmtId="2" fontId="4" fillId="0" borderId="27" xfId="1" applyNumberFormat="1" applyFont="1" applyBorder="1" applyAlignment="1">
      <alignment horizontal="center"/>
    </xf>
    <xf numFmtId="2" fontId="4" fillId="0" borderId="29" xfId="1" applyNumberFormat="1" applyFont="1" applyBorder="1" applyAlignment="1">
      <alignment horizontal="center"/>
    </xf>
    <xf numFmtId="2" fontId="0" fillId="3" borderId="48" xfId="0" applyNumberFormat="1" applyFill="1" applyBorder="1" applyAlignment="1">
      <alignment horizontal="center"/>
    </xf>
    <xf numFmtId="2" fontId="4" fillId="0" borderId="50" xfId="1" applyNumberFormat="1" applyFont="1" applyBorder="1" applyAlignment="1">
      <alignment horizontal="center"/>
    </xf>
    <xf numFmtId="2" fontId="4" fillId="0" borderId="19" xfId="1" applyNumberFormat="1" applyFont="1" applyBorder="1" applyAlignment="1">
      <alignment horizontal="center"/>
    </xf>
    <xf numFmtId="2" fontId="4" fillId="0" borderId="20" xfId="1" applyNumberFormat="1" applyFont="1" applyBorder="1" applyAlignment="1">
      <alignment horizontal="center"/>
    </xf>
    <xf numFmtId="2" fontId="0" fillId="3" borderId="18" xfId="0" applyNumberFormat="1" applyFill="1" applyBorder="1" applyAlignment="1">
      <alignment horizontal="center"/>
    </xf>
    <xf numFmtId="2" fontId="16" fillId="8" borderId="28" xfId="0" applyNumberFormat="1" applyFont="1" applyFill="1" applyBorder="1" applyAlignment="1">
      <alignment horizontal="center"/>
    </xf>
    <xf numFmtId="0" fontId="3" fillId="9" borderId="0" xfId="0" applyFont="1" applyFill="1" applyBorder="1" applyAlignment="1"/>
    <xf numFmtId="0" fontId="4" fillId="9" borderId="0" xfId="0" applyFont="1" applyFill="1"/>
    <xf numFmtId="0" fontId="4" fillId="9" borderId="0" xfId="0" applyFont="1" applyFill="1" applyBorder="1" applyAlignment="1"/>
    <xf numFmtId="166" fontId="34" fillId="0" borderId="31" xfId="2" applyNumberFormat="1" applyFont="1" applyBorder="1" applyAlignment="1">
      <alignment horizontal="right" vertical="center"/>
    </xf>
    <xf numFmtId="0" fontId="1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12" fillId="10" borderId="28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 wrapText="1"/>
    </xf>
    <xf numFmtId="0" fontId="38" fillId="0" borderId="13" xfId="0" applyFont="1" applyBorder="1" applyAlignment="1">
      <alignment horizontal="left" vertical="center" wrapText="1" indent="2"/>
    </xf>
    <xf numFmtId="0" fontId="38" fillId="0" borderId="3" xfId="0" applyFont="1" applyBorder="1" applyAlignment="1">
      <alignment horizontal="left" vertical="center" wrapText="1" indent="2"/>
    </xf>
    <xf numFmtId="0" fontId="38" fillId="11" borderId="13" xfId="0" applyFont="1" applyFill="1" applyBorder="1" applyAlignment="1">
      <alignment horizontal="left" vertical="center" wrapText="1" indent="2"/>
    </xf>
    <xf numFmtId="0" fontId="38" fillId="11" borderId="3" xfId="0" applyFont="1" applyFill="1" applyBorder="1" applyAlignment="1">
      <alignment horizontal="left" vertical="center" wrapText="1" indent="2"/>
    </xf>
    <xf numFmtId="0" fontId="37" fillId="0" borderId="13" xfId="0" applyFont="1" applyBorder="1" applyAlignment="1">
      <alignment horizontal="left" vertical="center" wrapText="1" indent="2"/>
    </xf>
    <xf numFmtId="0" fontId="40" fillId="12" borderId="28" xfId="0" applyFont="1" applyFill="1" applyBorder="1" applyAlignment="1">
      <alignment horizontal="center" vertical="center" wrapText="1"/>
    </xf>
    <xf numFmtId="0" fontId="40" fillId="12" borderId="1" xfId="0" applyFont="1" applyFill="1" applyBorder="1" applyAlignment="1">
      <alignment horizontal="center" vertical="center" wrapText="1"/>
    </xf>
    <xf numFmtId="0" fontId="40" fillId="11" borderId="2" xfId="0" applyFont="1" applyFill="1" applyBorder="1" applyAlignment="1">
      <alignment horizontal="center" vertical="center" wrapText="1"/>
    </xf>
    <xf numFmtId="0" fontId="41" fillId="11" borderId="3" xfId="0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0" fillId="13" borderId="0" xfId="0" applyFill="1" applyAlignment="1">
      <alignment horizontal="center"/>
    </xf>
    <xf numFmtId="0" fontId="3" fillId="7" borderId="17" xfId="0" applyFont="1" applyFill="1" applyBorder="1" applyAlignment="1">
      <alignment horizontal="left"/>
    </xf>
    <xf numFmtId="0" fontId="3" fillId="7" borderId="18" xfId="0" applyFont="1" applyFill="1" applyBorder="1" applyAlignment="1">
      <alignment horizontal="left"/>
    </xf>
    <xf numFmtId="0" fontId="3" fillId="7" borderId="18" xfId="0" applyFont="1" applyFill="1" applyBorder="1" applyAlignment="1">
      <alignment horizontal="right"/>
    </xf>
    <xf numFmtId="0" fontId="3" fillId="7" borderId="1" xfId="0" applyFont="1" applyFill="1" applyBorder="1" applyAlignment="1">
      <alignment horizontal="right"/>
    </xf>
    <xf numFmtId="0" fontId="31" fillId="0" borderId="4" xfId="0" applyFont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1" fillId="0" borderId="18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5" fillId="0" borderId="0" xfId="0" applyFont="1" applyFill="1" applyBorder="1" applyAlignment="1">
      <alignment horizontal="left" vertical="center"/>
    </xf>
    <xf numFmtId="0" fontId="26" fillId="0" borderId="0" xfId="0" applyFont="1" applyAlignment="1">
      <alignment horizontal="right"/>
    </xf>
    <xf numFmtId="0" fontId="3" fillId="7" borderId="38" xfId="0" applyFont="1" applyFill="1" applyBorder="1" applyAlignment="1">
      <alignment horizontal="left"/>
    </xf>
    <xf numFmtId="0" fontId="3" fillId="7" borderId="39" xfId="0" applyFont="1" applyFill="1" applyBorder="1" applyAlignment="1">
      <alignment horizontal="left"/>
    </xf>
    <xf numFmtId="0" fontId="3" fillId="7" borderId="39" xfId="0" applyFont="1" applyFill="1" applyBorder="1" applyAlignment="1">
      <alignment horizontal="right"/>
    </xf>
    <xf numFmtId="0" fontId="3" fillId="7" borderId="40" xfId="0" applyFont="1" applyFill="1" applyBorder="1" applyAlignment="1">
      <alignment horizontal="right"/>
    </xf>
    <xf numFmtId="0" fontId="15" fillId="0" borderId="6" xfId="0" applyFont="1" applyFill="1" applyBorder="1" applyAlignment="1">
      <alignment horizontal="left" vertical="center"/>
    </xf>
    <xf numFmtId="0" fontId="16" fillId="8" borderId="15" xfId="0" applyFont="1" applyFill="1" applyBorder="1" applyAlignment="1">
      <alignment horizontal="center" vertical="center" textRotation="255"/>
    </xf>
    <xf numFmtId="0" fontId="16" fillId="8" borderId="16" xfId="0" applyFont="1" applyFill="1" applyBorder="1" applyAlignment="1">
      <alignment horizontal="center" vertical="center" textRotation="255"/>
    </xf>
    <xf numFmtId="0" fontId="16" fillId="8" borderId="2" xfId="0" applyFont="1" applyFill="1" applyBorder="1" applyAlignment="1">
      <alignment horizontal="center" vertical="center" textRotation="255"/>
    </xf>
    <xf numFmtId="0" fontId="16" fillId="8" borderId="15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/>
    </xf>
    <xf numFmtId="0" fontId="16" fillId="8" borderId="16" xfId="0" applyFont="1" applyFill="1" applyBorder="1" applyAlignment="1">
      <alignment horizontal="center" vertical="center"/>
    </xf>
    <xf numFmtId="0" fontId="37" fillId="0" borderId="15" xfId="0" applyFont="1" applyBorder="1" applyAlignment="1">
      <alignment horizontal="center" vertical="center"/>
    </xf>
    <xf numFmtId="0" fontId="37" fillId="0" borderId="16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11" borderId="15" xfId="0" applyFont="1" applyFill="1" applyBorder="1" applyAlignment="1">
      <alignment horizontal="center" vertical="center"/>
    </xf>
    <xf numFmtId="0" fontId="37" fillId="11" borderId="16" xfId="0" applyFont="1" applyFill="1" applyBorder="1" applyAlignment="1">
      <alignment horizontal="center" vertical="center"/>
    </xf>
    <xf numFmtId="0" fontId="37" fillId="11" borderId="2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</cellXfs>
  <cellStyles count="5">
    <cellStyle name="Ezres" xfId="2" builtinId="3"/>
    <cellStyle name="Normál" xfId="0" builtinId="0"/>
    <cellStyle name="Normál 2" xfId="4" xr:uid="{7390F25E-3241-44A3-A8C3-B6A731D85BB8}"/>
    <cellStyle name="Normal 4" xfId="3" xr:uid="{0E6D25DE-8E20-4007-B83B-859A8FDC466A}"/>
    <cellStyle name="Százalék" xfId="1" builtinId="5"/>
  </cellStyles>
  <dxfs count="0"/>
  <tableStyles count="0" defaultTableStyle="TableStyleMedium2" defaultPivotStyle="PivotStyleLight16"/>
  <colors>
    <mruColors>
      <color rgb="FF6600CC"/>
      <color rgb="FF00FF99"/>
      <color rgb="FF9933FF"/>
      <color rgb="FFEBF7FF"/>
      <color rgb="FFFF9F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(C)'!$B$61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(C)'!$C$60:$J$60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(C)'!$C$61:$J$61</c:f>
              <c:numCache>
                <c:formatCode>0.0%</c:formatCode>
                <c:ptCount val="8"/>
                <c:pt idx="0">
                  <c:v>7.7709539666544369E-2</c:v>
                </c:pt>
                <c:pt idx="1">
                  <c:v>7.116954438703553E-2</c:v>
                </c:pt>
                <c:pt idx="2">
                  <c:v>6.9392444090601552E-2</c:v>
                </c:pt>
                <c:pt idx="3">
                  <c:v>6.8494872226526782E-2</c:v>
                </c:pt>
                <c:pt idx="4">
                  <c:v>7.7242276437859997E-2</c:v>
                </c:pt>
                <c:pt idx="5">
                  <c:v>7.4367637622769198E-2</c:v>
                </c:pt>
                <c:pt idx="6">
                  <c:v>5.8344952497770386E-2</c:v>
                </c:pt>
                <c:pt idx="7">
                  <c:v>4.2465676441850286E-2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99-46BC-81F6-1A5B751C0DF3}"/>
            </c:ext>
          </c:extLst>
        </c:ser>
        <c:ser>
          <c:idx val="1"/>
          <c:order val="1"/>
          <c:tx>
            <c:strRef>
              <c:f>'CAMELS (C)'!$B$62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(C)'!$C$60:$J$60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(C)'!$C$62:$J$62</c:f>
              <c:numCache>
                <c:formatCode>0.0%</c:formatCode>
                <c:ptCount val="8"/>
                <c:pt idx="0">
                  <c:v>0.11096601243189419</c:v>
                </c:pt>
                <c:pt idx="1">
                  <c:v>0.12359333017878084</c:v>
                </c:pt>
                <c:pt idx="2">
                  <c:v>0.12391656936082845</c:v>
                </c:pt>
                <c:pt idx="3">
                  <c:v>0.12441998749333229</c:v>
                </c:pt>
                <c:pt idx="4">
                  <c:v>0.13649278585682625</c:v>
                </c:pt>
                <c:pt idx="5">
                  <c:v>0.15310790920778913</c:v>
                </c:pt>
                <c:pt idx="6">
                  <c:v>0.19047963395566059</c:v>
                </c:pt>
                <c:pt idx="7">
                  <c:v>0.24296818555257496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99-46BC-81F6-1A5B751C0DF3}"/>
            </c:ext>
          </c:extLst>
        </c:ser>
        <c:ser>
          <c:idx val="2"/>
          <c:order val="2"/>
          <c:tx>
            <c:strRef>
              <c:f>'CAMELS (C)'!$B$63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(C)'!$C$60:$J$60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(C)'!$C$63:$J$63</c:f>
              <c:numCache>
                <c:formatCode>0.0%</c:formatCode>
                <c:ptCount val="8"/>
                <c:pt idx="0">
                  <c:v>0.10620296418944862</c:v>
                </c:pt>
                <c:pt idx="1">
                  <c:v>0.11492133329877617</c:v>
                </c:pt>
                <c:pt idx="2">
                  <c:v>0.10594476843386348</c:v>
                </c:pt>
                <c:pt idx="3">
                  <c:v>9.6244191126528655E-2</c:v>
                </c:pt>
                <c:pt idx="4">
                  <c:v>0.10883764524316701</c:v>
                </c:pt>
                <c:pt idx="5">
                  <c:v>0.10861104614198359</c:v>
                </c:pt>
                <c:pt idx="6">
                  <c:v>0.14807343072318865</c:v>
                </c:pt>
                <c:pt idx="7">
                  <c:v>0.17637165816098538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99-46BC-81F6-1A5B751C0DF3}"/>
            </c:ext>
          </c:extLst>
        </c:ser>
        <c:ser>
          <c:idx val="3"/>
          <c:order val="3"/>
          <c:tx>
            <c:strRef>
              <c:f>'CAMELS (C)'!$B$64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(C)'!$C$60:$J$60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(C)'!$C$64:$J$64</c:f>
              <c:numCache>
                <c:formatCode>0.0%</c:formatCode>
                <c:ptCount val="8"/>
                <c:pt idx="2">
                  <c:v>0.10409741558236041</c:v>
                </c:pt>
                <c:pt idx="3">
                  <c:v>0.10223222370324882</c:v>
                </c:pt>
                <c:pt idx="4">
                  <c:v>0.10011154086000337</c:v>
                </c:pt>
                <c:pt idx="5">
                  <c:v>0.1149168000282933</c:v>
                </c:pt>
                <c:pt idx="6">
                  <c:v>0.16117460078574866</c:v>
                </c:pt>
                <c:pt idx="7">
                  <c:v>0.22748408220309668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99-46BC-81F6-1A5B751C0DF3}"/>
            </c:ext>
          </c:extLst>
        </c:ser>
        <c:ser>
          <c:idx val="4"/>
          <c:order val="4"/>
          <c:tx>
            <c:strRef>
              <c:f>'CAMELS (C)'!$B$65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(C)'!$C$60:$J$60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(C)'!$C$65:$J$65</c:f>
              <c:numCache>
                <c:formatCode>0.0%</c:formatCode>
                <c:ptCount val="8"/>
                <c:pt idx="3">
                  <c:v>0.1192375111135181</c:v>
                </c:pt>
                <c:pt idx="4">
                  <c:v>0.13721290758538685</c:v>
                </c:pt>
                <c:pt idx="5">
                  <c:v>0.15478600678433593</c:v>
                </c:pt>
                <c:pt idx="6">
                  <c:v>0.11077815330663369</c:v>
                </c:pt>
                <c:pt idx="7">
                  <c:v>0.11689138126196458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99-46BC-81F6-1A5B751C0DF3}"/>
            </c:ext>
          </c:extLst>
        </c:ser>
        <c:ser>
          <c:idx val="5"/>
          <c:order val="5"/>
          <c:tx>
            <c:strRef>
              <c:f>'CAMELS (C)'!$B$66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(C)'!$C$60:$J$60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(C)'!$C$66:$J$66</c:f>
              <c:numCache>
                <c:formatCode>0.0%</c:formatCode>
                <c:ptCount val="8"/>
                <c:pt idx="6">
                  <c:v>0.13246688356658304</c:v>
                </c:pt>
                <c:pt idx="7">
                  <c:v>0.22425008230045537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F99-46BC-81F6-1A5B751C0DF3}"/>
            </c:ext>
          </c:extLst>
        </c:ser>
        <c:ser>
          <c:idx val="6"/>
          <c:order val="6"/>
          <c:tx>
            <c:strRef>
              <c:f>'CAMELS (C)'!$B$67</c:f>
              <c:strCache>
                <c:ptCount val="1"/>
                <c:pt idx="0">
                  <c:v>Török bankszektor</c:v>
                </c:pt>
              </c:strCache>
            </c:strRef>
          </c:tx>
          <c:spPr>
            <a:ln w="28575" cap="rnd">
              <a:solidFill>
                <a:srgbClr val="6600CC">
                  <a:alpha val="31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(C)'!$C$60:$J$60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(C)'!$C$67:$J$67</c:f>
              <c:numCache>
                <c:formatCode>0.0%</c:formatCode>
                <c:ptCount val="8"/>
                <c:pt idx="0">
                  <c:v>0.11774111358938674</c:v>
                </c:pt>
                <c:pt idx="1">
                  <c:v>0.11252873026670919</c:v>
                </c:pt>
                <c:pt idx="2">
                  <c:v>0.11127178312032748</c:v>
                </c:pt>
                <c:pt idx="3">
                  <c:v>0.11147868057514762</c:v>
                </c:pt>
                <c:pt idx="4">
                  <c:v>0.11083646212742346</c:v>
                </c:pt>
                <c:pt idx="5">
                  <c:v>0.11195208882304981</c:v>
                </c:pt>
                <c:pt idx="6">
                  <c:v>0.10099408271000671</c:v>
                </c:pt>
                <c:pt idx="7">
                  <c:v>7.9821732814244845E-2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DA-447B-93B7-811EA8C863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9412799"/>
        <c:axId val="1189410719"/>
      </c:lineChart>
      <c:catAx>
        <c:axId val="11894127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89410719"/>
        <c:crosses val="autoZero"/>
        <c:auto val="1"/>
        <c:lblAlgn val="ctr"/>
        <c:lblOffset val="100"/>
        <c:noMultiLvlLbl val="0"/>
      </c:catAx>
      <c:valAx>
        <c:axId val="1189410719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189412799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(E)'!$A$72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(E)'!$B$71:$I$71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(E)'!$B$72:$I$72</c:f>
              <c:numCache>
                <c:formatCode>0.0%</c:formatCode>
                <c:ptCount val="8"/>
                <c:pt idx="0">
                  <c:v>1.0961830781209266E-2</c:v>
                </c:pt>
                <c:pt idx="1">
                  <c:v>1.0245010832995428E-2</c:v>
                </c:pt>
                <c:pt idx="2">
                  <c:v>6.6241738617866062E-3</c:v>
                </c:pt>
                <c:pt idx="3">
                  <c:v>6.5442738163050632E-3</c:v>
                </c:pt>
                <c:pt idx="4">
                  <c:v>3.172818874122968E-3</c:v>
                </c:pt>
                <c:pt idx="5">
                  <c:v>1.2342104960020523E-3</c:v>
                </c:pt>
                <c:pt idx="6">
                  <c:v>3.6750207553692053E-3</c:v>
                </c:pt>
                <c:pt idx="7">
                  <c:v>9.5822020227538998E-4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9D0-4DA2-8463-8BF7269F507A}"/>
            </c:ext>
          </c:extLst>
        </c:ser>
        <c:ser>
          <c:idx val="1"/>
          <c:order val="1"/>
          <c:tx>
            <c:strRef>
              <c:f>'CAMELS (E)'!$A$73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(E)'!$B$71:$I$71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(E)'!$B$73:$I$73</c:f>
              <c:numCache>
                <c:formatCode>0.0%</c:formatCode>
                <c:ptCount val="8"/>
                <c:pt idx="0">
                  <c:v>1.1043841082808595E-2</c:v>
                </c:pt>
                <c:pt idx="1">
                  <c:v>1.057442306590663E-2</c:v>
                </c:pt>
                <c:pt idx="2">
                  <c:v>1.1179868867588734E-2</c:v>
                </c:pt>
                <c:pt idx="3">
                  <c:v>1.1798923010036483E-2</c:v>
                </c:pt>
                <c:pt idx="4">
                  <c:v>1.1717429031085851E-2</c:v>
                </c:pt>
                <c:pt idx="5">
                  <c:v>1.0626627350066203E-2</c:v>
                </c:pt>
                <c:pt idx="6">
                  <c:v>9.1948132092313298E-3</c:v>
                </c:pt>
                <c:pt idx="7">
                  <c:v>9.8466727012654007E-3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D0-4DA2-8463-8BF7269F507A}"/>
            </c:ext>
          </c:extLst>
        </c:ser>
        <c:ser>
          <c:idx val="2"/>
          <c:order val="2"/>
          <c:tx>
            <c:strRef>
              <c:f>'CAMELS (E)'!$A$74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(E)'!$B$71:$I$71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(E)'!$B$74:$I$74</c:f>
              <c:numCache>
                <c:formatCode>0.0%</c:formatCode>
                <c:ptCount val="8"/>
                <c:pt idx="0">
                  <c:v>9.9785071051348585E-3</c:v>
                </c:pt>
                <c:pt idx="1">
                  <c:v>6.7677824666383885E-3</c:v>
                </c:pt>
                <c:pt idx="2">
                  <c:v>7.6336106037879015E-3</c:v>
                </c:pt>
                <c:pt idx="3">
                  <c:v>9.6046925432648079E-3</c:v>
                </c:pt>
                <c:pt idx="4">
                  <c:v>9.4522108545852749E-3</c:v>
                </c:pt>
                <c:pt idx="5">
                  <c:v>7.2132878583931574E-3</c:v>
                </c:pt>
                <c:pt idx="6">
                  <c:v>8.3036767159609132E-3</c:v>
                </c:pt>
                <c:pt idx="7">
                  <c:v>7.9645625357354366E-3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D0-4DA2-8463-8BF7269F507A}"/>
            </c:ext>
          </c:extLst>
        </c:ser>
        <c:ser>
          <c:idx val="3"/>
          <c:order val="3"/>
          <c:tx>
            <c:strRef>
              <c:f>'CAMELS (E)'!$A$75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(E)'!$B$71:$I$71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(E)'!$B$75:$I$75</c:f>
              <c:numCache>
                <c:formatCode>0.0%</c:formatCode>
                <c:ptCount val="8"/>
                <c:pt idx="2">
                  <c:v>1.5053696164850411E-3</c:v>
                </c:pt>
                <c:pt idx="3">
                  <c:v>1.1073199758357809E-2</c:v>
                </c:pt>
                <c:pt idx="4">
                  <c:v>1.2765571121273338E-2</c:v>
                </c:pt>
                <c:pt idx="5">
                  <c:v>1.4199069283412417E-2</c:v>
                </c:pt>
                <c:pt idx="6">
                  <c:v>1.0609634014630004E-2</c:v>
                </c:pt>
                <c:pt idx="7">
                  <c:v>5.6827817132519502E-3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D0-4DA2-8463-8BF7269F507A}"/>
            </c:ext>
          </c:extLst>
        </c:ser>
        <c:ser>
          <c:idx val="4"/>
          <c:order val="4"/>
          <c:tx>
            <c:strRef>
              <c:f>'CAMELS (E)'!$A$76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(E)'!$B$71:$I$71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(E)'!$B$76:$I$76</c:f>
              <c:numCache>
                <c:formatCode>0.0%</c:formatCode>
                <c:ptCount val="8"/>
                <c:pt idx="3">
                  <c:v>1.0456508993656011E-2</c:v>
                </c:pt>
                <c:pt idx="4">
                  <c:v>1.5527990917139129E-2</c:v>
                </c:pt>
                <c:pt idx="5">
                  <c:v>1.0705107657690668E-2</c:v>
                </c:pt>
                <c:pt idx="6">
                  <c:v>1.2545066909306036E-2</c:v>
                </c:pt>
                <c:pt idx="7">
                  <c:v>1.2300484752010395E-2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9D0-4DA2-8463-8BF7269F507A}"/>
            </c:ext>
          </c:extLst>
        </c:ser>
        <c:ser>
          <c:idx val="5"/>
          <c:order val="5"/>
          <c:tx>
            <c:strRef>
              <c:f>'CAMELS (E)'!$A$77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(E)'!$B$71:$I$71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(E)'!$B$77:$I$77</c:f>
              <c:numCache>
                <c:formatCode>0.0%</c:formatCode>
                <c:ptCount val="8"/>
                <c:pt idx="6">
                  <c:v>3.9527366535366511E-3</c:v>
                </c:pt>
                <c:pt idx="7">
                  <c:v>3.6922953877589985E-3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9D0-4DA2-8463-8BF7269F507A}"/>
            </c:ext>
          </c:extLst>
        </c:ser>
        <c:ser>
          <c:idx val="6"/>
          <c:order val="6"/>
          <c:tx>
            <c:strRef>
              <c:f>'CAMELS (E)'!$A$78</c:f>
              <c:strCache>
                <c:ptCount val="1"/>
                <c:pt idx="0">
                  <c:v>ROA érték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(E)'!$B$71:$I$71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(E)'!$B$78:$I$78</c:f>
              <c:numCache>
                <c:formatCode>0.0%</c:formatCode>
                <c:ptCount val="8"/>
                <c:pt idx="0">
                  <c:v>0.01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0.01</c:v>
                </c:pt>
                <c:pt idx="5">
                  <c:v>0.01</c:v>
                </c:pt>
                <c:pt idx="6">
                  <c:v>0.01</c:v>
                </c:pt>
                <c:pt idx="7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20-4626-9CA9-B2A2C265A3A6}"/>
            </c:ext>
          </c:extLst>
        </c:ser>
        <c:ser>
          <c:idx val="7"/>
          <c:order val="7"/>
          <c:tx>
            <c:strRef>
              <c:f>'CAMELS (E)'!$A$79</c:f>
              <c:strCache>
                <c:ptCount val="1"/>
                <c:pt idx="0">
                  <c:v>ROA érték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(E)'!$B$71:$I$71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(E)'!$B$79:$I$79</c:f>
              <c:numCache>
                <c:formatCode>0.0%</c:formatCode>
                <c:ptCount val="8"/>
                <c:pt idx="0">
                  <c:v>0.02</c:v>
                </c:pt>
                <c:pt idx="1">
                  <c:v>0.02</c:v>
                </c:pt>
                <c:pt idx="2">
                  <c:v>0.02</c:v>
                </c:pt>
                <c:pt idx="3">
                  <c:v>0.02</c:v>
                </c:pt>
                <c:pt idx="4">
                  <c:v>0.02</c:v>
                </c:pt>
                <c:pt idx="5">
                  <c:v>0.02</c:v>
                </c:pt>
                <c:pt idx="6">
                  <c:v>0.02</c:v>
                </c:pt>
                <c:pt idx="7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20-4626-9CA9-B2A2C265A3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0549199"/>
        <c:axId val="1720504271"/>
      </c:lineChart>
      <c:catAx>
        <c:axId val="17205491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20504271"/>
        <c:crosses val="autoZero"/>
        <c:auto val="1"/>
        <c:lblAlgn val="ctr"/>
        <c:lblOffset val="100"/>
        <c:noMultiLvlLbl val="0"/>
      </c:catAx>
      <c:valAx>
        <c:axId val="1720504271"/>
        <c:scaling>
          <c:orientation val="minMax"/>
          <c:max val="2.5000000000000005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20549199"/>
        <c:crosses val="autoZero"/>
        <c:crossBetween val="between"/>
        <c:majorUnit val="5.000000000000001E-3"/>
      </c:valAx>
      <c:spPr>
        <a:noFill/>
        <a:ln>
          <a:noFill/>
        </a:ln>
        <a:effectLst/>
      </c:spPr>
    </c:plotArea>
    <c:legend>
      <c:legendPos val="r"/>
      <c:legendEntry>
        <c:idx val="6"/>
        <c:delete val="1"/>
      </c:legendEntry>
      <c:legendEntry>
        <c:idx val="7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(E)'!$A$114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(E)'!$B$113:$I$113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(E)'!$B$114:$I$114</c:f>
              <c:numCache>
                <c:formatCode>0.0%</c:formatCode>
                <c:ptCount val="8"/>
                <c:pt idx="0">
                  <c:v>1.4125922529239244E-2</c:v>
                </c:pt>
                <c:pt idx="1">
                  <c:v>1.2745349189680982E-2</c:v>
                </c:pt>
                <c:pt idx="2">
                  <c:v>8.0339138804126718E-3</c:v>
                </c:pt>
                <c:pt idx="3">
                  <c:v>7.9714975901815002E-3</c:v>
                </c:pt>
                <c:pt idx="4">
                  <c:v>3.9905359204836189E-3</c:v>
                </c:pt>
                <c:pt idx="5">
                  <c:v>1.6985595993552973E-3</c:v>
                </c:pt>
                <c:pt idx="6">
                  <c:v>4.6704359564548915E-3</c:v>
                </c:pt>
                <c:pt idx="7">
                  <c:v>7.4748206194948726E-4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A5-42D1-BB85-46E4D36CAE19}"/>
            </c:ext>
          </c:extLst>
        </c:ser>
        <c:ser>
          <c:idx val="1"/>
          <c:order val="1"/>
          <c:tx>
            <c:strRef>
              <c:f>'CAMELS (E)'!$A$115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(E)'!$B$113:$I$113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(E)'!$B$115:$I$115</c:f>
              <c:numCache>
                <c:formatCode>0.0%</c:formatCode>
                <c:ptCount val="8"/>
                <c:pt idx="0">
                  <c:v>1.3795157184013408E-2</c:v>
                </c:pt>
                <c:pt idx="1">
                  <c:v>1.3161545874066437E-2</c:v>
                </c:pt>
                <c:pt idx="2">
                  <c:v>1.3680974805451374E-2</c:v>
                </c:pt>
                <c:pt idx="3">
                  <c:v>1.4861467152646404E-2</c:v>
                </c:pt>
                <c:pt idx="4">
                  <c:v>1.5169361864928789E-2</c:v>
                </c:pt>
                <c:pt idx="5">
                  <c:v>1.3551090348182479E-2</c:v>
                </c:pt>
                <c:pt idx="6">
                  <c:v>1.21654683030894E-2</c:v>
                </c:pt>
                <c:pt idx="7">
                  <c:v>1.3962255655232181E-2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A5-42D1-BB85-46E4D36CAE19}"/>
            </c:ext>
          </c:extLst>
        </c:ser>
        <c:ser>
          <c:idx val="2"/>
          <c:order val="2"/>
          <c:tx>
            <c:strRef>
              <c:f>'CAMELS (E)'!$A$116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(E)'!$B$113:$I$113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(E)'!$B$116:$I$116</c:f>
              <c:numCache>
                <c:formatCode>0.0%</c:formatCode>
                <c:ptCount val="8"/>
                <c:pt idx="0">
                  <c:v>1.2697049302294476E-2</c:v>
                </c:pt>
                <c:pt idx="1">
                  <c:v>8.6277068725540522E-3</c:v>
                </c:pt>
                <c:pt idx="2">
                  <c:v>9.5103507377153878E-3</c:v>
                </c:pt>
                <c:pt idx="3">
                  <c:v>1.171012016433502E-2</c:v>
                </c:pt>
                <c:pt idx="4">
                  <c:v>1.2102442880592659E-2</c:v>
                </c:pt>
                <c:pt idx="5">
                  <c:v>9.1012125145987569E-3</c:v>
                </c:pt>
                <c:pt idx="6">
                  <c:v>1.0726031500578917E-2</c:v>
                </c:pt>
                <c:pt idx="7">
                  <c:v>1.0455758239889859E-2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A5-42D1-BB85-46E4D36CAE19}"/>
            </c:ext>
          </c:extLst>
        </c:ser>
        <c:ser>
          <c:idx val="3"/>
          <c:order val="3"/>
          <c:tx>
            <c:strRef>
              <c:f>'CAMELS (E)'!$A$117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(E)'!$B$113:$I$113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(E)'!$B$117:$I$117</c:f>
              <c:numCache>
                <c:formatCode>0.0%</c:formatCode>
                <c:ptCount val="8"/>
                <c:pt idx="2">
                  <c:v>5.0859933912992348E-3</c:v>
                </c:pt>
                <c:pt idx="3">
                  <c:v>1.3935331515511728E-2</c:v>
                </c:pt>
                <c:pt idx="4">
                  <c:v>1.6306519404917841E-2</c:v>
                </c:pt>
                <c:pt idx="5">
                  <c:v>1.9380540442568778E-2</c:v>
                </c:pt>
                <c:pt idx="6">
                  <c:v>1.3166997070264148E-2</c:v>
                </c:pt>
                <c:pt idx="7">
                  <c:v>7.427034372158553E-3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A5-42D1-BB85-46E4D36CAE19}"/>
            </c:ext>
          </c:extLst>
        </c:ser>
        <c:ser>
          <c:idx val="4"/>
          <c:order val="4"/>
          <c:tx>
            <c:strRef>
              <c:f>'CAMELS (E)'!$A$118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(E)'!$B$113:$I$113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(E)'!$B$118:$I$118</c:f>
              <c:numCache>
                <c:formatCode>0.0%</c:formatCode>
                <c:ptCount val="8"/>
                <c:pt idx="3">
                  <c:v>1.2859964822490593E-2</c:v>
                </c:pt>
                <c:pt idx="4">
                  <c:v>1.9755518261734668E-2</c:v>
                </c:pt>
                <c:pt idx="5">
                  <c:v>1.4568161940195034E-2</c:v>
                </c:pt>
                <c:pt idx="6">
                  <c:v>1.5844311187098115E-2</c:v>
                </c:pt>
                <c:pt idx="7">
                  <c:v>1.6531194639749704E-2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BA5-42D1-BB85-46E4D36CAE19}"/>
            </c:ext>
          </c:extLst>
        </c:ser>
        <c:ser>
          <c:idx val="5"/>
          <c:order val="5"/>
          <c:tx>
            <c:strRef>
              <c:f>'CAMELS (E)'!$A$119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(E)'!$B$113:$I$113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(E)'!$B$119:$I$119</c:f>
              <c:numCache>
                <c:formatCode>0.0%</c:formatCode>
                <c:ptCount val="8"/>
                <c:pt idx="6">
                  <c:v>1.0968909195834837E-2</c:v>
                </c:pt>
                <c:pt idx="7">
                  <c:v>4.8503221112541567E-3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BA5-42D1-BB85-46E4D36CA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0542127"/>
        <c:axId val="1720542543"/>
      </c:lineChart>
      <c:catAx>
        <c:axId val="1720542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20542543"/>
        <c:crosses val="autoZero"/>
        <c:auto val="1"/>
        <c:lblAlgn val="ctr"/>
        <c:lblOffset val="100"/>
        <c:noMultiLvlLbl val="0"/>
      </c:catAx>
      <c:valAx>
        <c:axId val="1720542543"/>
        <c:scaling>
          <c:orientation val="minMax"/>
          <c:max val="2.0000000000000004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20542127"/>
        <c:crosses val="autoZero"/>
        <c:crossBetween val="between"/>
        <c:majorUnit val="5.000000000000001E-3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(L)'!$A$79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(L)'!$B$78:$I$78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(L)'!$B$79:$I$79</c:f>
              <c:numCache>
                <c:formatCode>0.0%</c:formatCode>
                <c:ptCount val="8"/>
                <c:pt idx="0">
                  <c:v>0.23592297876668414</c:v>
                </c:pt>
                <c:pt idx="1">
                  <c:v>0.28546709578063378</c:v>
                </c:pt>
                <c:pt idx="2">
                  <c:v>0.25996125262086961</c:v>
                </c:pt>
                <c:pt idx="3">
                  <c:v>0.23786515455527613</c:v>
                </c:pt>
                <c:pt idx="4">
                  <c:v>0.29284416231926125</c:v>
                </c:pt>
                <c:pt idx="5">
                  <c:v>0.29183074420699978</c:v>
                </c:pt>
                <c:pt idx="6">
                  <c:v>0.25696597683307382</c:v>
                </c:pt>
                <c:pt idx="7">
                  <c:v>0.29872290631070186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74-49B5-9F3B-6D4F2E5CA0F6}"/>
            </c:ext>
          </c:extLst>
        </c:ser>
        <c:ser>
          <c:idx val="1"/>
          <c:order val="1"/>
          <c:tx>
            <c:strRef>
              <c:f>'CAMELS (L)'!$A$80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(L)'!$B$78:$I$78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(L)'!$B$80:$I$80</c:f>
              <c:numCache>
                <c:formatCode>0.0%</c:formatCode>
                <c:ptCount val="8"/>
                <c:pt idx="0">
                  <c:v>0.34153671061317453</c:v>
                </c:pt>
                <c:pt idx="1">
                  <c:v>0.32061527271132728</c:v>
                </c:pt>
                <c:pt idx="2">
                  <c:v>0.34230819571897614</c:v>
                </c:pt>
                <c:pt idx="3">
                  <c:v>0.2964990079756708</c:v>
                </c:pt>
                <c:pt idx="4">
                  <c:v>0.31323013256017512</c:v>
                </c:pt>
                <c:pt idx="5">
                  <c:v>0.36877273598374255</c:v>
                </c:pt>
                <c:pt idx="6">
                  <c:v>0.33654438235287648</c:v>
                </c:pt>
                <c:pt idx="7">
                  <c:v>0.44139168347907765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74-49B5-9F3B-6D4F2E5CA0F6}"/>
            </c:ext>
          </c:extLst>
        </c:ser>
        <c:ser>
          <c:idx val="2"/>
          <c:order val="2"/>
          <c:tx>
            <c:strRef>
              <c:f>'CAMELS (L)'!$A$81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(L)'!$B$78:$I$78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(L)'!$B$81:$I$81</c:f>
              <c:numCache>
                <c:formatCode>0.0%</c:formatCode>
                <c:ptCount val="8"/>
                <c:pt idx="0">
                  <c:v>0.23004724018272693</c:v>
                </c:pt>
                <c:pt idx="1">
                  <c:v>0.20433362464346308</c:v>
                </c:pt>
                <c:pt idx="2">
                  <c:v>0.24510305514751099</c:v>
                </c:pt>
                <c:pt idx="3">
                  <c:v>0.2589752481883924</c:v>
                </c:pt>
                <c:pt idx="4">
                  <c:v>0.279280898326218</c:v>
                </c:pt>
                <c:pt idx="5">
                  <c:v>0.31886085923374813</c:v>
                </c:pt>
                <c:pt idx="6">
                  <c:v>0.3463595464231638</c:v>
                </c:pt>
                <c:pt idx="7">
                  <c:v>0.41837429820706462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74-49B5-9F3B-6D4F2E5CA0F6}"/>
            </c:ext>
          </c:extLst>
        </c:ser>
        <c:ser>
          <c:idx val="3"/>
          <c:order val="3"/>
          <c:tx>
            <c:strRef>
              <c:f>'CAMELS (L)'!$A$82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(L)'!$B$78:$I$78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(L)'!$B$82:$I$82</c:f>
              <c:numCache>
                <c:formatCode>0.0%</c:formatCode>
                <c:ptCount val="8"/>
                <c:pt idx="2">
                  <c:v>0.26187991291420437</c:v>
                </c:pt>
                <c:pt idx="3">
                  <c:v>0.17048213387141856</c:v>
                </c:pt>
                <c:pt idx="4">
                  <c:v>0.20398333327838258</c:v>
                </c:pt>
                <c:pt idx="5">
                  <c:v>0.14055857174127603</c:v>
                </c:pt>
                <c:pt idx="6">
                  <c:v>0.25624505333344766</c:v>
                </c:pt>
                <c:pt idx="7">
                  <c:v>0.27697775479259057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674-49B5-9F3B-6D4F2E5CA0F6}"/>
            </c:ext>
          </c:extLst>
        </c:ser>
        <c:ser>
          <c:idx val="4"/>
          <c:order val="4"/>
          <c:tx>
            <c:strRef>
              <c:f>'CAMELS (L)'!$A$83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(L)'!$B$78:$I$78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(L)'!$B$83:$I$83</c:f>
              <c:numCache>
                <c:formatCode>0.0%</c:formatCode>
                <c:ptCount val="8"/>
                <c:pt idx="3">
                  <c:v>0.25736061186307946</c:v>
                </c:pt>
                <c:pt idx="4">
                  <c:v>0.33269046349237374</c:v>
                </c:pt>
                <c:pt idx="5">
                  <c:v>0.2989756690086825</c:v>
                </c:pt>
                <c:pt idx="6">
                  <c:v>0.37704889691466292</c:v>
                </c:pt>
                <c:pt idx="7">
                  <c:v>0.37578075650183057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674-49B5-9F3B-6D4F2E5CA0F6}"/>
            </c:ext>
          </c:extLst>
        </c:ser>
        <c:ser>
          <c:idx val="5"/>
          <c:order val="5"/>
          <c:tx>
            <c:strRef>
              <c:f>'CAMELS (L)'!$A$84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(L)'!$B$78:$I$78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(L)'!$B$84:$I$84</c:f>
              <c:numCache>
                <c:formatCode>0.0%</c:formatCode>
                <c:ptCount val="8"/>
                <c:pt idx="6">
                  <c:v>0.21296180999311581</c:v>
                </c:pt>
                <c:pt idx="7">
                  <c:v>0.30812006738923475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674-49B5-9F3B-6D4F2E5CA0F6}"/>
            </c:ext>
          </c:extLst>
        </c:ser>
        <c:ser>
          <c:idx val="6"/>
          <c:order val="6"/>
          <c:tx>
            <c:strRef>
              <c:f>'CAMELS (L)'!$A$85</c:f>
              <c:strCache>
                <c:ptCount val="1"/>
                <c:pt idx="0">
                  <c:v>Török bankszektor</c:v>
                </c:pt>
              </c:strCache>
            </c:strRef>
          </c:tx>
          <c:spPr>
            <a:ln w="28575" cap="rnd">
              <a:solidFill>
                <a:srgbClr val="6600CC">
                  <a:alpha val="31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(L)'!$B$78:$I$78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(L)'!$B$85:$I$85</c:f>
              <c:numCache>
                <c:formatCode>0.0%</c:formatCode>
                <c:ptCount val="8"/>
                <c:pt idx="0">
                  <c:v>0.25879179365734967</c:v>
                </c:pt>
                <c:pt idx="1">
                  <c:v>0.24887397032972697</c:v>
                </c:pt>
                <c:pt idx="2">
                  <c:v>0.23138501337861445</c:v>
                </c:pt>
                <c:pt idx="3">
                  <c:v>0.22362366031057371</c:v>
                </c:pt>
                <c:pt idx="4">
                  <c:v>0.20215046422099567</c:v>
                </c:pt>
                <c:pt idx="5">
                  <c:v>0.21190697307327561</c:v>
                </c:pt>
                <c:pt idx="6">
                  <c:v>0.23136849787225849</c:v>
                </c:pt>
                <c:pt idx="7">
                  <c:v>0.28708416236038031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79-4026-91A3-60D351CF6A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0520911"/>
        <c:axId val="1720537135"/>
      </c:lineChart>
      <c:catAx>
        <c:axId val="17205209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20537135"/>
        <c:crosses val="autoZero"/>
        <c:auto val="1"/>
        <c:lblAlgn val="ctr"/>
        <c:lblOffset val="100"/>
        <c:noMultiLvlLbl val="0"/>
      </c:catAx>
      <c:valAx>
        <c:axId val="1720537135"/>
        <c:scaling>
          <c:orientation val="minMax"/>
          <c:max val="0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2052091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(L)'!$A$106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(L)'!$B$105:$I$105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(L)'!$B$106:$I$106</c:f>
              <c:numCache>
                <c:formatCode>0.0%</c:formatCode>
                <c:ptCount val="8"/>
                <c:pt idx="0">
                  <c:v>0.92975084505893035</c:v>
                </c:pt>
                <c:pt idx="1">
                  <c:v>0.9121106185151826</c:v>
                </c:pt>
                <c:pt idx="2">
                  <c:v>0.94333615171477736</c:v>
                </c:pt>
                <c:pt idx="3">
                  <c:v>0.9662795971843362</c:v>
                </c:pt>
                <c:pt idx="4">
                  <c:v>0.94545571042339971</c:v>
                </c:pt>
                <c:pt idx="5">
                  <c:v>0.77037211617532753</c:v>
                </c:pt>
                <c:pt idx="6">
                  <c:v>0.81482775582427447</c:v>
                </c:pt>
                <c:pt idx="7">
                  <c:v>0.65001047988950145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B2-4B71-A820-4A112F22BC42}"/>
            </c:ext>
          </c:extLst>
        </c:ser>
        <c:ser>
          <c:idx val="1"/>
          <c:order val="1"/>
          <c:tx>
            <c:strRef>
              <c:f>'CAMELS (L)'!$A$107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(L)'!$B$105:$I$105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(L)'!$B$107:$I$107</c:f>
              <c:numCache>
                <c:formatCode>0.0%</c:formatCode>
                <c:ptCount val="8"/>
                <c:pt idx="0">
                  <c:v>0.92912353315347918</c:v>
                </c:pt>
                <c:pt idx="1">
                  <c:v>0.91922294991520359</c:v>
                </c:pt>
                <c:pt idx="2">
                  <c:v>0.88553419445815584</c:v>
                </c:pt>
                <c:pt idx="3">
                  <c:v>0.90307235293822474</c:v>
                </c:pt>
                <c:pt idx="4">
                  <c:v>0.83999743416280703</c:v>
                </c:pt>
                <c:pt idx="5">
                  <c:v>0.64587221380977911</c:v>
                </c:pt>
                <c:pt idx="6">
                  <c:v>0.60605094167135998</c:v>
                </c:pt>
                <c:pt idx="7">
                  <c:v>0.52540197835331759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5B2-4B71-A820-4A112F22BC42}"/>
            </c:ext>
          </c:extLst>
        </c:ser>
        <c:ser>
          <c:idx val="2"/>
          <c:order val="2"/>
          <c:tx>
            <c:strRef>
              <c:f>'CAMELS (L)'!$A$108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(L)'!$B$105:$I$105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(L)'!$B$108:$I$108</c:f>
              <c:numCache>
                <c:formatCode>0.0%</c:formatCode>
                <c:ptCount val="8"/>
                <c:pt idx="0">
                  <c:v>1.2063366044464536</c:v>
                </c:pt>
                <c:pt idx="1">
                  <c:v>1.2181092439361956</c:v>
                </c:pt>
                <c:pt idx="2">
                  <c:v>1.2152621002800836</c:v>
                </c:pt>
                <c:pt idx="3">
                  <c:v>1.1501247634188536</c:v>
                </c:pt>
                <c:pt idx="4">
                  <c:v>1.1347257265422153</c:v>
                </c:pt>
                <c:pt idx="5">
                  <c:v>0.81507349907993876</c:v>
                </c:pt>
                <c:pt idx="6">
                  <c:v>0.81951189695118287</c:v>
                </c:pt>
                <c:pt idx="7">
                  <c:v>0.71247120669690878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5B2-4B71-A820-4A112F22BC42}"/>
            </c:ext>
          </c:extLst>
        </c:ser>
        <c:ser>
          <c:idx val="3"/>
          <c:order val="3"/>
          <c:tx>
            <c:strRef>
              <c:f>'CAMELS (L)'!$A$109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(L)'!$B$105:$I$105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(L)'!$B$109:$I$109</c:f>
              <c:numCache>
                <c:formatCode>0.0%</c:formatCode>
                <c:ptCount val="8"/>
                <c:pt idx="2">
                  <c:v>0.98614975651179682</c:v>
                </c:pt>
                <c:pt idx="3">
                  <c:v>1.1346836455737115</c:v>
                </c:pt>
                <c:pt idx="4">
                  <c:v>1.1381346751238754</c:v>
                </c:pt>
                <c:pt idx="5">
                  <c:v>1.0177324372688403</c:v>
                </c:pt>
                <c:pt idx="6">
                  <c:v>0.82402650360075147</c:v>
                </c:pt>
                <c:pt idx="7">
                  <c:v>0.75177238987548645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B2-4B71-A820-4A112F22BC42}"/>
            </c:ext>
          </c:extLst>
        </c:ser>
        <c:ser>
          <c:idx val="4"/>
          <c:order val="4"/>
          <c:tx>
            <c:strRef>
              <c:f>'CAMELS (L)'!$A$110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(L)'!$B$105:$I$105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(L)'!$B$110:$I$110</c:f>
              <c:numCache>
                <c:formatCode>0.0%</c:formatCode>
                <c:ptCount val="8"/>
                <c:pt idx="3">
                  <c:v>0.95014994428261967</c:v>
                </c:pt>
                <c:pt idx="4">
                  <c:v>0.89361514900866179</c:v>
                </c:pt>
                <c:pt idx="5">
                  <c:v>0.80985365230970907</c:v>
                </c:pt>
                <c:pt idx="6">
                  <c:v>0.73566346111585235</c:v>
                </c:pt>
                <c:pt idx="7">
                  <c:v>0.76178903910190288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5B2-4B71-A820-4A112F22BC42}"/>
            </c:ext>
          </c:extLst>
        </c:ser>
        <c:ser>
          <c:idx val="5"/>
          <c:order val="5"/>
          <c:tx>
            <c:strRef>
              <c:f>'CAMELS (L)'!$A$111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(L)'!$B$105:$I$105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(L)'!$B$111:$I$111</c:f>
              <c:numCache>
                <c:formatCode>0.0%</c:formatCode>
                <c:ptCount val="8"/>
                <c:pt idx="6">
                  <c:v>1.1621271858461644</c:v>
                </c:pt>
                <c:pt idx="7">
                  <c:v>0.81081614694751303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5B2-4B71-A820-4A112F22BC42}"/>
            </c:ext>
          </c:extLst>
        </c:ser>
        <c:ser>
          <c:idx val="6"/>
          <c:order val="6"/>
          <c:tx>
            <c:strRef>
              <c:f>'CAMELS (L)'!$A$112</c:f>
              <c:strCache>
                <c:ptCount val="1"/>
                <c:pt idx="0">
                  <c:v>Mutató értéke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(L)'!$B$105:$I$105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(L)'!$B$112:$I$112</c:f>
              <c:numCache>
                <c:formatCode>0.0%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FB-4E01-B122-CE02A5AE6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0490127"/>
        <c:axId val="1720490543"/>
      </c:lineChart>
      <c:catAx>
        <c:axId val="17204901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20490543"/>
        <c:crosses val="autoZero"/>
        <c:auto val="1"/>
        <c:lblAlgn val="ctr"/>
        <c:lblOffset val="100"/>
        <c:noMultiLvlLbl val="0"/>
      </c:catAx>
      <c:valAx>
        <c:axId val="1720490543"/>
        <c:scaling>
          <c:orientation val="minMax"/>
          <c:max val="1.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204901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6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(L)'!$A$118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(L)'!$B$117:$I$117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(L)'!$B$118:$I$118</c:f>
              <c:numCache>
                <c:formatCode>0.0%</c:formatCode>
                <c:ptCount val="8"/>
                <c:pt idx="0">
                  <c:v>7.1518036811264077E-2</c:v>
                </c:pt>
                <c:pt idx="1">
                  <c:v>8.3979909477704812E-2</c:v>
                </c:pt>
                <c:pt idx="2">
                  <c:v>6.5696454064441412E-2</c:v>
                </c:pt>
                <c:pt idx="3">
                  <c:v>4.1718065298765407E-2</c:v>
                </c:pt>
                <c:pt idx="4">
                  <c:v>0.12355745542806197</c:v>
                </c:pt>
                <c:pt idx="5">
                  <c:v>8.1477701124805152E-2</c:v>
                </c:pt>
                <c:pt idx="6">
                  <c:v>4.9243405532986784E-2</c:v>
                </c:pt>
                <c:pt idx="7">
                  <c:v>4.8611041446853305E-2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F5-49C7-A041-6396E8FDBC4B}"/>
            </c:ext>
          </c:extLst>
        </c:ser>
        <c:ser>
          <c:idx val="1"/>
          <c:order val="1"/>
          <c:tx>
            <c:strRef>
              <c:f>'CAMELS (L)'!$A$119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(L)'!$B$117:$I$117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(L)'!$B$119:$I$119</c:f>
              <c:numCache>
                <c:formatCode>0.0%</c:formatCode>
                <c:ptCount val="8"/>
                <c:pt idx="0">
                  <c:v>7.9524420512859351E-2</c:v>
                </c:pt>
                <c:pt idx="1">
                  <c:v>8.5214753070488758E-2</c:v>
                </c:pt>
                <c:pt idx="2">
                  <c:v>9.6913698477967519E-2</c:v>
                </c:pt>
                <c:pt idx="3">
                  <c:v>6.2602000119216225E-2</c:v>
                </c:pt>
                <c:pt idx="4">
                  <c:v>8.6480492157560734E-2</c:v>
                </c:pt>
                <c:pt idx="5">
                  <c:v>6.6936746874465755E-2</c:v>
                </c:pt>
                <c:pt idx="6">
                  <c:v>3.8147317509980856E-2</c:v>
                </c:pt>
                <c:pt idx="7">
                  <c:v>5.7161583269000227E-2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F5-49C7-A041-6396E8FDBC4B}"/>
            </c:ext>
          </c:extLst>
        </c:ser>
        <c:ser>
          <c:idx val="2"/>
          <c:order val="2"/>
          <c:tx>
            <c:strRef>
              <c:f>'CAMELS (L)'!$A$120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(L)'!$B$117:$I$117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(L)'!$B$120:$I$120</c:f>
              <c:numCache>
                <c:formatCode>0.0%</c:formatCode>
                <c:ptCount val="8"/>
                <c:pt idx="0">
                  <c:v>1.709537513147567E-2</c:v>
                </c:pt>
                <c:pt idx="1">
                  <c:v>5.8421623080016048E-3</c:v>
                </c:pt>
                <c:pt idx="2">
                  <c:v>1.4475626072000061E-2</c:v>
                </c:pt>
                <c:pt idx="3">
                  <c:v>7.866656694190002E-3</c:v>
                </c:pt>
                <c:pt idx="4">
                  <c:v>3.0504234377934224E-2</c:v>
                </c:pt>
                <c:pt idx="5">
                  <c:v>6.8741923356503781E-2</c:v>
                </c:pt>
                <c:pt idx="6">
                  <c:v>8.7820816164300264E-2</c:v>
                </c:pt>
                <c:pt idx="7">
                  <c:v>6.0531412020084559E-2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F5-49C7-A041-6396E8FDBC4B}"/>
            </c:ext>
          </c:extLst>
        </c:ser>
        <c:ser>
          <c:idx val="3"/>
          <c:order val="3"/>
          <c:tx>
            <c:strRef>
              <c:f>'CAMELS (L)'!$A$121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(L)'!$B$117:$I$117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(L)'!$B$121:$I$121</c:f>
              <c:numCache>
                <c:formatCode>0.0%</c:formatCode>
                <c:ptCount val="8"/>
                <c:pt idx="2">
                  <c:v>5.8854650168659942E-2</c:v>
                </c:pt>
                <c:pt idx="3">
                  <c:v>1.9413116649778333E-2</c:v>
                </c:pt>
                <c:pt idx="4">
                  <c:v>3.1506644567042198E-2</c:v>
                </c:pt>
                <c:pt idx="5">
                  <c:v>2.518173275386076E-2</c:v>
                </c:pt>
                <c:pt idx="6">
                  <c:v>7.9747591988143088E-2</c:v>
                </c:pt>
                <c:pt idx="7">
                  <c:v>3.40764080353003E-2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F5-49C7-A041-6396E8FDBC4B}"/>
            </c:ext>
          </c:extLst>
        </c:ser>
        <c:ser>
          <c:idx val="4"/>
          <c:order val="4"/>
          <c:tx>
            <c:strRef>
              <c:f>'CAMELS (L)'!$A$122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(L)'!$B$117:$I$117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(L)'!$B$122:$I$122</c:f>
              <c:numCache>
                <c:formatCode>0.0%</c:formatCode>
                <c:ptCount val="8"/>
                <c:pt idx="3">
                  <c:v>3.8934773236781274E-2</c:v>
                </c:pt>
                <c:pt idx="4">
                  <c:v>6.6503839180832233E-2</c:v>
                </c:pt>
                <c:pt idx="5">
                  <c:v>6.4462681602004218E-2</c:v>
                </c:pt>
                <c:pt idx="6">
                  <c:v>1.2924353961015718E-2</c:v>
                </c:pt>
                <c:pt idx="7">
                  <c:v>2.3138690215792863E-2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2F5-49C7-A041-6396E8FDBC4B}"/>
            </c:ext>
          </c:extLst>
        </c:ser>
        <c:ser>
          <c:idx val="5"/>
          <c:order val="5"/>
          <c:tx>
            <c:strRef>
              <c:f>'CAMELS (L)'!$A$123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(L)'!$B$117:$I$117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(L)'!$B$123:$I$123</c:f>
              <c:numCache>
                <c:formatCode>0.0%</c:formatCode>
                <c:ptCount val="8"/>
                <c:pt idx="6">
                  <c:v>4.4670627430061054E-2</c:v>
                </c:pt>
                <c:pt idx="7">
                  <c:v>3.9554152616492817E-2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2F5-49C7-A041-6396E8FDBC4B}"/>
            </c:ext>
          </c:extLst>
        </c:ser>
        <c:ser>
          <c:idx val="6"/>
          <c:order val="6"/>
          <c:tx>
            <c:strRef>
              <c:f>'CAMELS (L)'!$A$124</c:f>
              <c:strCache>
                <c:ptCount val="1"/>
                <c:pt idx="0">
                  <c:v>Török bankszektor</c:v>
                </c:pt>
              </c:strCache>
            </c:strRef>
          </c:tx>
          <c:spPr>
            <a:ln w="28575" cap="rnd">
              <a:solidFill>
                <a:srgbClr val="6600CC">
                  <a:alpha val="31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(L)'!$B$117:$I$117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(L)'!$B$124:$I$124</c:f>
              <c:numCache>
                <c:formatCode>0.0%</c:formatCode>
                <c:ptCount val="8"/>
                <c:pt idx="0">
                  <c:v>2.5480166805669554E-2</c:v>
                </c:pt>
                <c:pt idx="1">
                  <c:v>2.7660650816800629E-2</c:v>
                </c:pt>
                <c:pt idx="2">
                  <c:v>2.5839030223856099E-2</c:v>
                </c:pt>
                <c:pt idx="3">
                  <c:v>2.6543993948871414E-2</c:v>
                </c:pt>
                <c:pt idx="4">
                  <c:v>3.008390410370794E-2</c:v>
                </c:pt>
                <c:pt idx="5">
                  <c:v>3.2596575916139764E-2</c:v>
                </c:pt>
                <c:pt idx="6">
                  <c:v>2.2897813087266818E-2</c:v>
                </c:pt>
                <c:pt idx="7">
                  <c:v>3.7672798880282861E-2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FE-473B-A1F3-C0A9B38680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0510511"/>
        <c:axId val="1720500527"/>
      </c:lineChart>
      <c:catAx>
        <c:axId val="1720510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20500527"/>
        <c:crosses val="autoZero"/>
        <c:auto val="1"/>
        <c:lblAlgn val="ctr"/>
        <c:lblOffset val="100"/>
        <c:noMultiLvlLbl val="0"/>
      </c:catAx>
      <c:valAx>
        <c:axId val="1720500527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20510511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(C)'!$B$73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(C)'!$C$72:$J$72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(C)'!$C$73:$J$73</c:f>
              <c:numCache>
                <c:formatCode>0.0%</c:formatCode>
                <c:ptCount val="8"/>
                <c:pt idx="0">
                  <c:v>0.11573747421973542</c:v>
                </c:pt>
                <c:pt idx="1">
                  <c:v>0.11336986571534109</c:v>
                </c:pt>
                <c:pt idx="2">
                  <c:v>0.10436227500020029</c:v>
                </c:pt>
                <c:pt idx="3">
                  <c:v>0.10146660286873177</c:v>
                </c:pt>
                <c:pt idx="4">
                  <c:v>0.12051673058971572</c:v>
                </c:pt>
                <c:pt idx="5">
                  <c:v>0.12474781102202963</c:v>
                </c:pt>
                <c:pt idx="6">
                  <c:v>9.6163345436775127E-2</c:v>
                </c:pt>
                <c:pt idx="7">
                  <c:v>7.8018216340005525E-2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C3-4802-BDFA-3D2A2E8BA19E}"/>
            </c:ext>
          </c:extLst>
        </c:ser>
        <c:ser>
          <c:idx val="1"/>
          <c:order val="1"/>
          <c:tx>
            <c:strRef>
              <c:f>'CAMELS (C)'!$B$74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(C)'!$C$72:$J$72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(C)'!$C$74:$J$74</c:f>
              <c:numCache>
                <c:formatCode>0.0%</c:formatCode>
                <c:ptCount val="8"/>
                <c:pt idx="0">
                  <c:v>0.14691897704223</c:v>
                </c:pt>
                <c:pt idx="1">
                  <c:v>0.13161927971838613</c:v>
                </c:pt>
                <c:pt idx="2">
                  <c:v>0.13847964159563034</c:v>
                </c:pt>
                <c:pt idx="3">
                  <c:v>0.12755282002202806</c:v>
                </c:pt>
                <c:pt idx="4">
                  <c:v>0.11992839428393567</c:v>
                </c:pt>
                <c:pt idx="5">
                  <c:v>0.12353280694283898</c:v>
                </c:pt>
                <c:pt idx="6">
                  <c:v>0.10797903090218378</c:v>
                </c:pt>
                <c:pt idx="7">
                  <c:v>9.3833430944385426E-2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C3-4802-BDFA-3D2A2E8BA19E}"/>
            </c:ext>
          </c:extLst>
        </c:ser>
        <c:ser>
          <c:idx val="2"/>
          <c:order val="2"/>
          <c:tx>
            <c:strRef>
              <c:f>'CAMELS (C)'!$B$75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(C)'!$C$72:$J$72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(C)'!$C$75:$J$75</c:f>
              <c:numCache>
                <c:formatCode>0.0%</c:formatCode>
                <c:ptCount val="8"/>
                <c:pt idx="0">
                  <c:v>0.1367882232551087</c:v>
                </c:pt>
                <c:pt idx="1">
                  <c:v>0.12425754260311855</c:v>
                </c:pt>
                <c:pt idx="2">
                  <c:v>0.14309078827761615</c:v>
                </c:pt>
                <c:pt idx="3">
                  <c:v>0.16025838688010202</c:v>
                </c:pt>
                <c:pt idx="4">
                  <c:v>0.14182945313863018</c:v>
                </c:pt>
                <c:pt idx="5">
                  <c:v>0.14815095018081517</c:v>
                </c:pt>
                <c:pt idx="6">
                  <c:v>0.11684110151779199</c:v>
                </c:pt>
                <c:pt idx="7">
                  <c:v>0.10893889040700712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C3-4802-BDFA-3D2A2E8BA19E}"/>
            </c:ext>
          </c:extLst>
        </c:ser>
        <c:ser>
          <c:idx val="3"/>
          <c:order val="3"/>
          <c:tx>
            <c:strRef>
              <c:f>'CAMELS (C)'!$B$76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(C)'!$C$72:$J$72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(C)'!$C$76:$J$76</c:f>
              <c:numCache>
                <c:formatCode>0.0%</c:formatCode>
                <c:ptCount val="8"/>
                <c:pt idx="2">
                  <c:v>0.13757268427774166</c:v>
                </c:pt>
                <c:pt idx="3">
                  <c:v>0.12340330472492392</c:v>
                </c:pt>
                <c:pt idx="4">
                  <c:v>0.14758167918213824</c:v>
                </c:pt>
                <c:pt idx="5">
                  <c:v>0.12223046313773647</c:v>
                </c:pt>
                <c:pt idx="6">
                  <c:v>9.769594905656917E-2</c:v>
                </c:pt>
                <c:pt idx="7">
                  <c:v>7.3764154471679041E-2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1C3-4802-BDFA-3D2A2E8BA19E}"/>
            </c:ext>
          </c:extLst>
        </c:ser>
        <c:ser>
          <c:idx val="4"/>
          <c:order val="4"/>
          <c:tx>
            <c:strRef>
              <c:f>'CAMELS (C)'!$B$77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(C)'!$C$72:$J$72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(C)'!$C$77:$J$77</c:f>
              <c:numCache>
                <c:formatCode>0.0%</c:formatCode>
                <c:ptCount val="8"/>
                <c:pt idx="3">
                  <c:v>0.11557918799487477</c:v>
                </c:pt>
                <c:pt idx="4">
                  <c:v>0.11256728345687123</c:v>
                </c:pt>
                <c:pt idx="5">
                  <c:v>0.10547742733573461</c:v>
                </c:pt>
                <c:pt idx="6">
                  <c:v>0.16485608040537306</c:v>
                </c:pt>
                <c:pt idx="7">
                  <c:v>0.15368463708124319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1C3-4802-BDFA-3D2A2E8BA19E}"/>
            </c:ext>
          </c:extLst>
        </c:ser>
        <c:ser>
          <c:idx val="5"/>
          <c:order val="5"/>
          <c:tx>
            <c:strRef>
              <c:f>'CAMELS (C)'!$B$78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(C)'!$C$72:$J$72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(C)'!$C$78:$J$78</c:f>
              <c:numCache>
                <c:formatCode>0.0%</c:formatCode>
                <c:ptCount val="8"/>
                <c:pt idx="6">
                  <c:v>0.11342632439009437</c:v>
                </c:pt>
                <c:pt idx="7">
                  <c:v>7.9561075800203274E-2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1C3-4802-BDFA-3D2A2E8BA19E}"/>
            </c:ext>
          </c:extLst>
        </c:ser>
        <c:ser>
          <c:idx val="6"/>
          <c:order val="6"/>
          <c:tx>
            <c:strRef>
              <c:f>'CAMELS (C)'!$B$79</c:f>
              <c:strCache>
                <c:ptCount val="1"/>
                <c:pt idx="0">
                  <c:v>Török bankszektor</c:v>
                </c:pt>
              </c:strCache>
            </c:strRef>
          </c:tx>
          <c:spPr>
            <a:ln w="28575" cap="rnd">
              <a:solidFill>
                <a:srgbClr val="6600CC">
                  <a:alpha val="30588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(C)'!$C$72:$J$72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(C)'!$C$79:$J$79</c:f>
              <c:numCache>
                <c:formatCode>0.0%</c:formatCode>
                <c:ptCount val="8"/>
                <c:pt idx="0">
                  <c:v>0.1837927704758632</c:v>
                </c:pt>
                <c:pt idx="1">
                  <c:v>0.17251340793287731</c:v>
                </c:pt>
                <c:pt idx="2">
                  <c:v>0.16823088455417867</c:v>
                </c:pt>
                <c:pt idx="3">
                  <c:v>0.16657088418774238</c:v>
                </c:pt>
                <c:pt idx="4">
                  <c:v>0.17121362124881556</c:v>
                </c:pt>
                <c:pt idx="5">
                  <c:v>0.17090493605322782</c:v>
                </c:pt>
                <c:pt idx="6">
                  <c:v>0.15849901619257903</c:v>
                </c:pt>
                <c:pt idx="7">
                  <c:v>0.13878058065680604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8D7-4FE2-B0CD-317A9475B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3501967"/>
        <c:axId val="1463503215"/>
      </c:lineChart>
      <c:catAx>
        <c:axId val="1463501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63503215"/>
        <c:crosses val="autoZero"/>
        <c:auto val="1"/>
        <c:lblAlgn val="ctr"/>
        <c:lblOffset val="100"/>
        <c:noMultiLvlLbl val="0"/>
      </c:catAx>
      <c:valAx>
        <c:axId val="1463503215"/>
        <c:scaling>
          <c:orientation val="minMax"/>
          <c:max val="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4635019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(C)'!$B$49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(C)'!$C$48:$J$48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(C)'!$C$49:$J$49</c:f>
              <c:numCache>
                <c:formatCode>0.0%</c:formatCode>
                <c:ptCount val="8"/>
                <c:pt idx="0">
                  <c:v>0.14150000000000001</c:v>
                </c:pt>
                <c:pt idx="1">
                  <c:v>0.1527</c:v>
                </c:pt>
                <c:pt idx="2">
                  <c:v>0.1346</c:v>
                </c:pt>
                <c:pt idx="3">
                  <c:v>0.17059999999999997</c:v>
                </c:pt>
                <c:pt idx="4">
                  <c:v>0.14660000000000001</c:v>
                </c:pt>
                <c:pt idx="5">
                  <c:v>0.1497</c:v>
                </c:pt>
                <c:pt idx="6">
                  <c:v>0.1351</c:v>
                </c:pt>
                <c:pt idx="7">
                  <c:v>0.14899999999999999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E53-4545-8475-FFE12099DD86}"/>
            </c:ext>
          </c:extLst>
        </c:ser>
        <c:ser>
          <c:idx val="1"/>
          <c:order val="1"/>
          <c:tx>
            <c:strRef>
              <c:f>'CAMELS (C)'!$B$50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(C)'!$C$48:$J$48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(C)'!$C$50:$J$50</c:f>
              <c:numCache>
                <c:formatCode>0.0%</c:formatCode>
                <c:ptCount val="8"/>
                <c:pt idx="0">
                  <c:v>0.15090000000000001</c:v>
                </c:pt>
                <c:pt idx="1">
                  <c:v>0.14230000000000001</c:v>
                </c:pt>
                <c:pt idx="2">
                  <c:v>0.18160000000000001</c:v>
                </c:pt>
                <c:pt idx="3">
                  <c:v>0.17660000000000001</c:v>
                </c:pt>
                <c:pt idx="4">
                  <c:v>0.17679999999999998</c:v>
                </c:pt>
                <c:pt idx="5">
                  <c:v>0.19320000000000001</c:v>
                </c:pt>
                <c:pt idx="6">
                  <c:v>0.21260000000000001</c:v>
                </c:pt>
                <c:pt idx="7">
                  <c:v>0.23050000000000001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53-4545-8475-FFE12099DD86}"/>
            </c:ext>
          </c:extLst>
        </c:ser>
        <c:ser>
          <c:idx val="2"/>
          <c:order val="2"/>
          <c:tx>
            <c:strRef>
              <c:f>'CAMELS (C)'!$B$51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(C)'!$C$48:$J$48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(C)'!$C$51:$J$51</c:f>
              <c:numCache>
                <c:formatCode>0.0%</c:formatCode>
                <c:ptCount val="8"/>
                <c:pt idx="0">
                  <c:v>0.12470000000000001</c:v>
                </c:pt>
                <c:pt idx="1">
                  <c:v>0.1351</c:v>
                </c:pt>
                <c:pt idx="2">
                  <c:v>0.15579999999999999</c:v>
                </c:pt>
                <c:pt idx="3">
                  <c:v>0.1822</c:v>
                </c:pt>
                <c:pt idx="4">
                  <c:v>0.16620000000000001</c:v>
                </c:pt>
                <c:pt idx="5">
                  <c:v>0.1726</c:v>
                </c:pt>
                <c:pt idx="6">
                  <c:v>0.16639999999999999</c:v>
                </c:pt>
                <c:pt idx="7">
                  <c:v>0.17850000000000002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53-4545-8475-FFE12099DD86}"/>
            </c:ext>
          </c:extLst>
        </c:ser>
        <c:ser>
          <c:idx val="3"/>
          <c:order val="3"/>
          <c:tx>
            <c:strRef>
              <c:f>'CAMELS (C)'!$B$52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(C)'!$C$48:$J$48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(C)'!$C$52:$J$52</c:f>
              <c:numCache>
                <c:formatCode>0.0%</c:formatCode>
                <c:ptCount val="8"/>
                <c:pt idx="2">
                  <c:v>0.1246</c:v>
                </c:pt>
                <c:pt idx="3">
                  <c:v>0.13059999999999999</c:v>
                </c:pt>
                <c:pt idx="4">
                  <c:v>0.12759999999999999</c:v>
                </c:pt>
                <c:pt idx="5">
                  <c:v>0.16579999999999998</c:v>
                </c:pt>
                <c:pt idx="6">
                  <c:v>0.14749999999999999</c:v>
                </c:pt>
                <c:pt idx="7">
                  <c:v>0.14019999999999999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53-4545-8475-FFE12099DD86}"/>
            </c:ext>
          </c:extLst>
        </c:ser>
        <c:ser>
          <c:idx val="4"/>
          <c:order val="4"/>
          <c:tx>
            <c:strRef>
              <c:f>'CAMELS (C)'!$B$53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(C)'!$C$48:$J$48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(C)'!$C$53:$J$53</c:f>
              <c:numCache>
                <c:formatCode>0.0%</c:formatCode>
                <c:ptCount val="8"/>
                <c:pt idx="3">
                  <c:v>0.1409</c:v>
                </c:pt>
                <c:pt idx="4">
                  <c:v>0.13600000000000001</c:v>
                </c:pt>
                <c:pt idx="5">
                  <c:v>0.14880000000000002</c:v>
                </c:pt>
                <c:pt idx="6">
                  <c:v>0.18469999999999998</c:v>
                </c:pt>
                <c:pt idx="7">
                  <c:v>0.18289999999999998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E53-4545-8475-FFE12099DD86}"/>
            </c:ext>
          </c:extLst>
        </c:ser>
        <c:ser>
          <c:idx val="5"/>
          <c:order val="5"/>
          <c:tx>
            <c:strRef>
              <c:f>'CAMELS (C)'!$B$54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(C)'!$C$48:$J$48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(C)'!$C$54:$J$54</c:f>
              <c:numCache>
                <c:formatCode>0.0%</c:formatCode>
                <c:ptCount val="8"/>
                <c:pt idx="6">
                  <c:v>0.28050000000000003</c:v>
                </c:pt>
                <c:pt idx="7">
                  <c:v>0.27829999999999999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E53-4545-8475-FFE12099DD86}"/>
            </c:ext>
          </c:extLst>
        </c:ser>
        <c:ser>
          <c:idx val="6"/>
          <c:order val="6"/>
          <c:tx>
            <c:strRef>
              <c:f>'CAMELS (C)'!$B$55</c:f>
              <c:strCache>
                <c:ptCount val="1"/>
                <c:pt idx="0">
                  <c:v>CAR mérték</c:v>
                </c:pt>
              </c:strCache>
            </c:strRef>
          </c:tx>
          <c:spPr>
            <a:ln w="952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(C)'!$C$48:$J$48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(C)'!$C$55:$J$55</c:f>
              <c:numCache>
                <c:formatCode>0.0%</c:formatCode>
                <c:ptCount val="8"/>
                <c:pt idx="0">
                  <c:v>0.08</c:v>
                </c:pt>
                <c:pt idx="1">
                  <c:v>0.08</c:v>
                </c:pt>
                <c:pt idx="2">
                  <c:v>0.08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0.08</c:v>
                </c:pt>
                <c:pt idx="7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88-4EE9-916F-373C511B4F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3005039"/>
        <c:axId val="1252999631"/>
      </c:lineChart>
      <c:catAx>
        <c:axId val="1253005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252999631"/>
        <c:crosses val="autoZero"/>
        <c:auto val="1"/>
        <c:lblAlgn val="ctr"/>
        <c:lblOffset val="100"/>
        <c:noMultiLvlLbl val="0"/>
      </c:catAx>
      <c:valAx>
        <c:axId val="1252999631"/>
        <c:scaling>
          <c:orientation val="minMax"/>
          <c:max val="0.3000000000000000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253005039"/>
        <c:crosses val="autoZero"/>
        <c:crossBetween val="between"/>
        <c:majorUnit val="5.000000000000001E-2"/>
        <c:minorUnit val="1.0000000000000002E-2"/>
      </c:valAx>
      <c:spPr>
        <a:noFill/>
        <a:ln>
          <a:noFill/>
        </a:ln>
        <a:effectLst/>
      </c:spPr>
    </c:plotArea>
    <c:legend>
      <c:legendPos val="r"/>
      <c:legendEntry>
        <c:idx val="6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(A)'!$B$44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(A)'!$C$43:$J$43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(A)'!$C$44:$J$44</c:f>
              <c:numCache>
                <c:formatCode>0.0%</c:formatCode>
                <c:ptCount val="8"/>
                <c:pt idx="0">
                  <c:v>2.1130543362737838E-2</c:v>
                </c:pt>
                <c:pt idx="1">
                  <c:v>2.5240536879986571E-2</c:v>
                </c:pt>
                <c:pt idx="2">
                  <c:v>5.0631790624717447E-2</c:v>
                </c:pt>
                <c:pt idx="3">
                  <c:v>4.9582558859278529E-2</c:v>
                </c:pt>
                <c:pt idx="4">
                  <c:v>6.9785353207825557E-2</c:v>
                </c:pt>
                <c:pt idx="5">
                  <c:v>7.2517066891430143E-2</c:v>
                </c:pt>
                <c:pt idx="6">
                  <c:v>4.8632429015865251E-2</c:v>
                </c:pt>
                <c:pt idx="7">
                  <c:v>6.3793123043138278E-2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ACD-456C-B0AF-5B8539D766CB}"/>
            </c:ext>
          </c:extLst>
        </c:ser>
        <c:ser>
          <c:idx val="1"/>
          <c:order val="1"/>
          <c:tx>
            <c:strRef>
              <c:f>'CAMELS (A)'!$B$45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(A)'!$C$43:$J$43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(A)'!$C$45:$J$45</c:f>
              <c:numCache>
                <c:formatCode>0.0%</c:formatCode>
                <c:ptCount val="8"/>
                <c:pt idx="0">
                  <c:v>2.338727009690654E-2</c:v>
                </c:pt>
                <c:pt idx="1">
                  <c:v>1.7118061196858922E-2</c:v>
                </c:pt>
                <c:pt idx="2">
                  <c:v>2.6479975187346225E-2</c:v>
                </c:pt>
                <c:pt idx="3">
                  <c:v>1.992353416875136E-2</c:v>
                </c:pt>
                <c:pt idx="4">
                  <c:v>2.6015662978585652E-2</c:v>
                </c:pt>
                <c:pt idx="5">
                  <c:v>3.7010709953117296E-2</c:v>
                </c:pt>
                <c:pt idx="6">
                  <c:v>3.9633576962764851E-2</c:v>
                </c:pt>
                <c:pt idx="7">
                  <c:v>2.7596847543638746E-2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3E-4879-8537-DF3600D8C9DA}"/>
            </c:ext>
          </c:extLst>
        </c:ser>
        <c:ser>
          <c:idx val="2"/>
          <c:order val="2"/>
          <c:tx>
            <c:strRef>
              <c:f>'CAMELS (A)'!$B$46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(A)'!$C$43:$J$43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(A)'!$C$46:$J$46</c:f>
              <c:numCache>
                <c:formatCode>0.0%</c:formatCode>
                <c:ptCount val="8"/>
                <c:pt idx="0">
                  <c:v>2.5906751706747909E-2</c:v>
                </c:pt>
                <c:pt idx="1">
                  <c:v>4.6302592980299144E-2</c:v>
                </c:pt>
                <c:pt idx="2">
                  <c:v>5.4467419527852987E-2</c:v>
                </c:pt>
                <c:pt idx="3">
                  <c:v>5.5845059118939951E-2</c:v>
                </c:pt>
                <c:pt idx="4">
                  <c:v>5.684363909888298E-2</c:v>
                </c:pt>
                <c:pt idx="5">
                  <c:v>8.183470424174058E-2</c:v>
                </c:pt>
                <c:pt idx="6">
                  <c:v>5.6394962709431749E-2</c:v>
                </c:pt>
                <c:pt idx="7">
                  <c:v>4.6822748198360478E-2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3E-4879-8537-DF3600D8C9DA}"/>
            </c:ext>
          </c:extLst>
        </c:ser>
        <c:ser>
          <c:idx val="3"/>
          <c:order val="3"/>
          <c:tx>
            <c:strRef>
              <c:f>'CAMELS (A)'!$B$47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(A)'!$C$43:$J$43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(A)'!$C$47:$J$47</c:f>
              <c:numCache>
                <c:formatCode>0.0%</c:formatCode>
                <c:ptCount val="8"/>
                <c:pt idx="2">
                  <c:v>1.8861297940856525E-3</c:v>
                </c:pt>
                <c:pt idx="3">
                  <c:v>3.0630139895895677E-3</c:v>
                </c:pt>
                <c:pt idx="4">
                  <c:v>1.3927171147744808E-2</c:v>
                </c:pt>
                <c:pt idx="5">
                  <c:v>2.6063945250129453E-2</c:v>
                </c:pt>
                <c:pt idx="6">
                  <c:v>3.0898807398616404E-2</c:v>
                </c:pt>
                <c:pt idx="7">
                  <c:v>2.8998429590818355E-2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63E-4879-8537-DF3600D8C9DA}"/>
            </c:ext>
          </c:extLst>
        </c:ser>
        <c:ser>
          <c:idx val="4"/>
          <c:order val="4"/>
          <c:tx>
            <c:strRef>
              <c:f>'CAMELS (A)'!$B$48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(A)'!$C$43:$J$43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(A)'!$C$48:$J$48</c:f>
              <c:numCache>
                <c:formatCode>0.0%</c:formatCode>
                <c:ptCount val="8"/>
                <c:pt idx="3">
                  <c:v>1.6105566049408346E-3</c:v>
                </c:pt>
                <c:pt idx="4">
                  <c:v>1.813104342316647E-2</c:v>
                </c:pt>
                <c:pt idx="5">
                  <c:v>3.0721493032477447E-2</c:v>
                </c:pt>
                <c:pt idx="6">
                  <c:v>2.4552069842086296E-2</c:v>
                </c:pt>
                <c:pt idx="7">
                  <c:v>1.6545813769476263E-2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3E-4879-8537-DF3600D8C9DA}"/>
            </c:ext>
          </c:extLst>
        </c:ser>
        <c:ser>
          <c:idx val="5"/>
          <c:order val="5"/>
          <c:tx>
            <c:strRef>
              <c:f>'CAMELS (A)'!$B$49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(A)'!$C$43:$J$43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(A)'!$C$49:$J$49</c:f>
              <c:numCache>
                <c:formatCode>0.0%</c:formatCode>
                <c:ptCount val="8"/>
                <c:pt idx="6">
                  <c:v>1.2725796544064591E-2</c:v>
                </c:pt>
                <c:pt idx="7">
                  <c:v>9.0003995492642409E-3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3E-4879-8537-DF3600D8C9DA}"/>
            </c:ext>
          </c:extLst>
        </c:ser>
        <c:ser>
          <c:idx val="6"/>
          <c:order val="6"/>
          <c:tx>
            <c:strRef>
              <c:f>'CAMELS (A)'!$B$50</c:f>
              <c:strCache>
                <c:ptCount val="1"/>
                <c:pt idx="0">
                  <c:v>Török bankszektor</c:v>
                </c:pt>
              </c:strCache>
            </c:strRef>
          </c:tx>
          <c:spPr>
            <a:ln w="28575" cap="rnd">
              <a:solidFill>
                <a:srgbClr val="6600CC">
                  <a:alpha val="31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(A)'!$C$43:$J$43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(A)'!$C$50:$J$50</c:f>
              <c:numCache>
                <c:formatCode>0.0%</c:formatCode>
                <c:ptCount val="8"/>
                <c:pt idx="0">
                  <c:v>2.7400000000000001E-2</c:v>
                </c:pt>
                <c:pt idx="1">
                  <c:v>2.9899999999999999E-2</c:v>
                </c:pt>
                <c:pt idx="2">
                  <c:v>3.1099999999999999E-2</c:v>
                </c:pt>
                <c:pt idx="3">
                  <c:v>2.8400000000000002E-2</c:v>
                </c:pt>
                <c:pt idx="4">
                  <c:v>3.6900000000000002E-2</c:v>
                </c:pt>
                <c:pt idx="5">
                  <c:v>5.0200000000000002E-2</c:v>
                </c:pt>
                <c:pt idx="6">
                  <c:v>3.8899999999999997E-2</c:v>
                </c:pt>
                <c:pt idx="7">
                  <c:v>2.98E-2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89-4F27-A757-6240616B9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43923039"/>
        <c:axId val="1543923455"/>
      </c:lineChart>
      <c:catAx>
        <c:axId val="1543923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543923455"/>
        <c:crosses val="autoZero"/>
        <c:auto val="1"/>
        <c:lblAlgn val="ctr"/>
        <c:lblOffset val="100"/>
        <c:noMultiLvlLbl val="0"/>
      </c:catAx>
      <c:valAx>
        <c:axId val="1543923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543923039"/>
        <c:crosses val="autoZero"/>
        <c:crossBetween val="between"/>
        <c:majorUnit val="2.5000000000000005E-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(A)'!$B$56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(A)'!$C$55:$J$55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(A)'!$C$56:$J$56</c:f>
              <c:numCache>
                <c:formatCode>0.0%</c:formatCode>
                <c:ptCount val="8"/>
                <c:pt idx="0">
                  <c:v>0.67142937229654376</c:v>
                </c:pt>
                <c:pt idx="1">
                  <c:v>0.62776421175036234</c:v>
                </c:pt>
                <c:pt idx="2">
                  <c:v>0.66491885205136025</c:v>
                </c:pt>
                <c:pt idx="3">
                  <c:v>0.67504844244306861</c:v>
                </c:pt>
                <c:pt idx="4">
                  <c:v>0.64092575412472608</c:v>
                </c:pt>
                <c:pt idx="5">
                  <c:v>0.59614382820421896</c:v>
                </c:pt>
                <c:pt idx="6">
                  <c:v>0.60672756581800347</c:v>
                </c:pt>
                <c:pt idx="7">
                  <c:v>0.54430463081575342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6B6-4CAE-9603-A72AA500C198}"/>
            </c:ext>
          </c:extLst>
        </c:ser>
        <c:ser>
          <c:idx val="1"/>
          <c:order val="1"/>
          <c:tx>
            <c:strRef>
              <c:f>'CAMELS (A)'!$B$57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(A)'!$C$55:$J$55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(A)'!$C$57:$J$57</c:f>
              <c:numCache>
                <c:formatCode>0.0%</c:formatCode>
                <c:ptCount val="8"/>
                <c:pt idx="0">
                  <c:v>0.61338354939602013</c:v>
                </c:pt>
                <c:pt idx="1">
                  <c:v>0.61473148319076432</c:v>
                </c:pt>
                <c:pt idx="2">
                  <c:v>0.58275322779658911</c:v>
                </c:pt>
                <c:pt idx="3">
                  <c:v>0.63011494737811391</c:v>
                </c:pt>
                <c:pt idx="4">
                  <c:v>0.61089740891181843</c:v>
                </c:pt>
                <c:pt idx="5">
                  <c:v>0.52871309179505099</c:v>
                </c:pt>
                <c:pt idx="6">
                  <c:v>0.48619672235887096</c:v>
                </c:pt>
                <c:pt idx="7">
                  <c:v>0.43862460820568455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6B6-4CAE-9603-A72AA500C198}"/>
            </c:ext>
          </c:extLst>
        </c:ser>
        <c:ser>
          <c:idx val="2"/>
          <c:order val="2"/>
          <c:tx>
            <c:strRef>
              <c:f>'CAMELS (A)'!$B$58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(A)'!$C$55:$J$55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(A)'!$C$58:$J$58</c:f>
              <c:numCache>
                <c:formatCode>0.0%</c:formatCode>
                <c:ptCount val="8"/>
                <c:pt idx="0">
                  <c:v>0.68835845813632512</c:v>
                </c:pt>
                <c:pt idx="1">
                  <c:v>0.70028783735837385</c:v>
                </c:pt>
                <c:pt idx="2">
                  <c:v>0.65964277156525342</c:v>
                </c:pt>
                <c:pt idx="3">
                  <c:v>0.64834282079042349</c:v>
                </c:pt>
                <c:pt idx="4">
                  <c:v>0.64782012358794916</c:v>
                </c:pt>
                <c:pt idx="5">
                  <c:v>0.62147199337140624</c:v>
                </c:pt>
                <c:pt idx="6">
                  <c:v>0.57799917518345822</c:v>
                </c:pt>
                <c:pt idx="7">
                  <c:v>0.52046107519467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6B6-4CAE-9603-A72AA500C198}"/>
            </c:ext>
          </c:extLst>
        </c:ser>
        <c:ser>
          <c:idx val="3"/>
          <c:order val="3"/>
          <c:tx>
            <c:strRef>
              <c:f>'CAMELS (A)'!$B$59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(A)'!$C$55:$J$55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(A)'!$C$59:$J$59</c:f>
              <c:numCache>
                <c:formatCode>0.0%</c:formatCode>
                <c:ptCount val="8"/>
                <c:pt idx="2">
                  <c:v>0.69827716716625787</c:v>
                </c:pt>
                <c:pt idx="3">
                  <c:v>0.79265718815484976</c:v>
                </c:pt>
                <c:pt idx="4">
                  <c:v>0.67683593226863892</c:v>
                </c:pt>
                <c:pt idx="5">
                  <c:v>0.71192954836938294</c:v>
                </c:pt>
                <c:pt idx="6">
                  <c:v>0.63507766694320478</c:v>
                </c:pt>
                <c:pt idx="7">
                  <c:v>0.59594148428107763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6B6-4CAE-9603-A72AA500C198}"/>
            </c:ext>
          </c:extLst>
        </c:ser>
        <c:ser>
          <c:idx val="4"/>
          <c:order val="4"/>
          <c:tx>
            <c:strRef>
              <c:f>'CAMELS (A)'!$B$60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(A)'!$C$55:$J$55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(A)'!$C$60:$J$60</c:f>
              <c:numCache>
                <c:formatCode>0.0%</c:formatCode>
                <c:ptCount val="8"/>
                <c:pt idx="3">
                  <c:v>0.72561701631586939</c:v>
                </c:pt>
                <c:pt idx="4">
                  <c:v>0.64743004131800741</c:v>
                </c:pt>
                <c:pt idx="5">
                  <c:v>0.61250378268862438</c:v>
                </c:pt>
                <c:pt idx="6">
                  <c:v>0.54757159217111795</c:v>
                </c:pt>
                <c:pt idx="7">
                  <c:v>0.55665620381280179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6B6-4CAE-9603-A72AA500C198}"/>
            </c:ext>
          </c:extLst>
        </c:ser>
        <c:ser>
          <c:idx val="5"/>
          <c:order val="5"/>
          <c:tx>
            <c:strRef>
              <c:f>'CAMELS (A)'!$B$61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(A)'!$C$55:$J$55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(A)'!$C$61:$J$61</c:f>
              <c:numCache>
                <c:formatCode>0.0%</c:formatCode>
                <c:ptCount val="8"/>
                <c:pt idx="6">
                  <c:v>0.66554714066484078</c:v>
                </c:pt>
                <c:pt idx="7">
                  <c:v>0.56048854615207988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6B6-4CAE-9603-A72AA500C198}"/>
            </c:ext>
          </c:extLst>
        </c:ser>
        <c:ser>
          <c:idx val="6"/>
          <c:order val="6"/>
          <c:tx>
            <c:strRef>
              <c:f>'CAMELS (A)'!$B$62</c:f>
              <c:strCache>
                <c:ptCount val="1"/>
                <c:pt idx="0">
                  <c:v>Török bankszektor</c:v>
                </c:pt>
              </c:strCache>
            </c:strRef>
          </c:tx>
          <c:spPr>
            <a:ln w="28575" cap="rnd">
              <a:solidFill>
                <a:srgbClr val="6600CC">
                  <a:alpha val="31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(A)'!$C$55:$J$55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(A)'!$C$62:$J$62</c:f>
              <c:numCache>
                <c:formatCode>0.0%</c:formatCode>
                <c:ptCount val="8"/>
                <c:pt idx="0">
                  <c:v>0.64061885178910905</c:v>
                </c:pt>
                <c:pt idx="1">
                  <c:v>0.65228976469175448</c:v>
                </c:pt>
                <c:pt idx="2">
                  <c:v>0.66142304021763887</c:v>
                </c:pt>
                <c:pt idx="3">
                  <c:v>0.66925670184652297</c:v>
                </c:pt>
                <c:pt idx="4">
                  <c:v>0.6473577354359602</c:v>
                </c:pt>
                <c:pt idx="5">
                  <c:v>0.65505474217656701</c:v>
                </c:pt>
                <c:pt idx="6">
                  <c:v>0.63719059673718836</c:v>
                </c:pt>
                <c:pt idx="7">
                  <c:v>0.57516500101435664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E7-4248-95E6-0DDADE66D5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4646783"/>
        <c:axId val="1754640959"/>
      </c:lineChart>
      <c:catAx>
        <c:axId val="1754646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54640959"/>
        <c:crosses val="autoZero"/>
        <c:auto val="1"/>
        <c:lblAlgn val="ctr"/>
        <c:lblOffset val="100"/>
        <c:noMultiLvlLbl val="0"/>
      </c:catAx>
      <c:valAx>
        <c:axId val="1754640959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54646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(M)'!$A$44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(M)'!$B$43:$I$43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(M)'!$B$44:$I$44</c:f>
              <c:numCache>
                <c:formatCode>0.0%</c:formatCode>
                <c:ptCount val="8"/>
                <c:pt idx="0">
                  <c:v>0.53473260440948778</c:v>
                </c:pt>
                <c:pt idx="1">
                  <c:v>0.54232132863501137</c:v>
                </c:pt>
                <c:pt idx="2">
                  <c:v>0.5386622703041819</c:v>
                </c:pt>
                <c:pt idx="3">
                  <c:v>0.5231305200845412</c:v>
                </c:pt>
                <c:pt idx="4">
                  <c:v>0.66236839090013766</c:v>
                </c:pt>
                <c:pt idx="5">
                  <c:v>0.75383968586399963</c:v>
                </c:pt>
                <c:pt idx="6">
                  <c:v>0.52418493634485919</c:v>
                </c:pt>
                <c:pt idx="7">
                  <c:v>0.66288493674620719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BD-4047-B20C-D60AE501DF51}"/>
            </c:ext>
          </c:extLst>
        </c:ser>
        <c:ser>
          <c:idx val="1"/>
          <c:order val="1"/>
          <c:tx>
            <c:strRef>
              <c:f>'CAMELS (M)'!$A$45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(M)'!$B$43:$I$43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(M)'!$B$45:$I$45</c:f>
              <c:numCache>
                <c:formatCode>0.0%</c:formatCode>
                <c:ptCount val="8"/>
                <c:pt idx="0">
                  <c:v>0.43469152919509346</c:v>
                </c:pt>
                <c:pt idx="1">
                  <c:v>0.4273275739052525</c:v>
                </c:pt>
                <c:pt idx="2">
                  <c:v>0.46313972161450084</c:v>
                </c:pt>
                <c:pt idx="3">
                  <c:v>0.44580089358933012</c:v>
                </c:pt>
                <c:pt idx="4">
                  <c:v>0.47517966042125476</c:v>
                </c:pt>
                <c:pt idx="5">
                  <c:v>0.53210120416071127</c:v>
                </c:pt>
                <c:pt idx="6">
                  <c:v>0.33433937019776599</c:v>
                </c:pt>
                <c:pt idx="7">
                  <c:v>0.41463264572635622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DBD-4047-B20C-D60AE501DF51}"/>
            </c:ext>
          </c:extLst>
        </c:ser>
        <c:ser>
          <c:idx val="2"/>
          <c:order val="2"/>
          <c:tx>
            <c:strRef>
              <c:f>'CAMELS (M)'!$A$46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(M)'!$B$43:$I$43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(M)'!$B$46:$I$46</c:f>
              <c:numCache>
                <c:formatCode>0.0%</c:formatCode>
                <c:ptCount val="8"/>
                <c:pt idx="0">
                  <c:v>0.49407917536111129</c:v>
                </c:pt>
                <c:pt idx="1">
                  <c:v>0.4949144787907257</c:v>
                </c:pt>
                <c:pt idx="2">
                  <c:v>0.49366434318440172</c:v>
                </c:pt>
                <c:pt idx="3">
                  <c:v>0.49995814139526618</c:v>
                </c:pt>
                <c:pt idx="4">
                  <c:v>0.55663960273387114</c:v>
                </c:pt>
                <c:pt idx="5">
                  <c:v>0.57220466227594535</c:v>
                </c:pt>
                <c:pt idx="6">
                  <c:v>0.44905957452571338</c:v>
                </c:pt>
                <c:pt idx="7">
                  <c:v>0.62027924730850925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DBD-4047-B20C-D60AE501DF51}"/>
            </c:ext>
          </c:extLst>
        </c:ser>
        <c:ser>
          <c:idx val="3"/>
          <c:order val="3"/>
          <c:tx>
            <c:strRef>
              <c:f>'CAMELS (M)'!$A$47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(M)'!$B$43:$I$43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(M)'!$B$47:$I$47</c:f>
              <c:numCache>
                <c:formatCode>0.0%</c:formatCode>
                <c:ptCount val="8"/>
                <c:pt idx="2">
                  <c:v>0.53707305587830334</c:v>
                </c:pt>
                <c:pt idx="3">
                  <c:v>0.54851272478275759</c:v>
                </c:pt>
                <c:pt idx="4">
                  <c:v>0.63127817131989228</c:v>
                </c:pt>
                <c:pt idx="5">
                  <c:v>0.61915666260578439</c:v>
                </c:pt>
                <c:pt idx="6">
                  <c:v>0.50647393617084735</c:v>
                </c:pt>
                <c:pt idx="7">
                  <c:v>0.7580576161085868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DBD-4047-B20C-D60AE501DF51}"/>
            </c:ext>
          </c:extLst>
        </c:ser>
        <c:ser>
          <c:idx val="4"/>
          <c:order val="4"/>
          <c:tx>
            <c:strRef>
              <c:f>'CAMELS (M)'!$A$48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(M)'!$B$43:$I$43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(M)'!$B$48:$I$48</c:f>
              <c:numCache>
                <c:formatCode>0.0%</c:formatCode>
                <c:ptCount val="8"/>
                <c:pt idx="3">
                  <c:v>0.62645148283243091</c:v>
                </c:pt>
                <c:pt idx="4">
                  <c:v>0.64306285570660748</c:v>
                </c:pt>
                <c:pt idx="5">
                  <c:v>0.70729841029796747</c:v>
                </c:pt>
                <c:pt idx="6">
                  <c:v>0.44372299656625852</c:v>
                </c:pt>
                <c:pt idx="7">
                  <c:v>0.57564787031732811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8DBD-4047-B20C-D60AE501DF51}"/>
            </c:ext>
          </c:extLst>
        </c:ser>
        <c:ser>
          <c:idx val="5"/>
          <c:order val="5"/>
          <c:tx>
            <c:strRef>
              <c:f>'CAMELS (M)'!$A$49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(M)'!$B$43:$I$43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(M)'!$B$49:$I$49</c:f>
              <c:numCache>
                <c:formatCode>0.0%</c:formatCode>
                <c:ptCount val="8"/>
                <c:pt idx="6">
                  <c:v>0.37175426662131611</c:v>
                </c:pt>
                <c:pt idx="7">
                  <c:v>0.22856969897844842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8DBD-4047-B20C-D60AE501DF51}"/>
            </c:ext>
          </c:extLst>
        </c:ser>
        <c:ser>
          <c:idx val="6"/>
          <c:order val="6"/>
          <c:tx>
            <c:strRef>
              <c:f>'CAMELS (M)'!$A$50</c:f>
              <c:strCache>
                <c:ptCount val="1"/>
                <c:pt idx="0">
                  <c:v>Török bankszektor</c:v>
                </c:pt>
              </c:strCache>
            </c:strRef>
          </c:tx>
          <c:spPr>
            <a:ln w="28575" cap="rnd">
              <a:solidFill>
                <a:srgbClr val="6600CC">
                  <a:alpha val="31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(M)'!$B$43:$I$43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(M)'!$B$50:$I$50</c:f>
              <c:numCache>
                <c:formatCode>0.0%</c:formatCode>
                <c:ptCount val="8"/>
                <c:pt idx="0">
                  <c:v>0.51856450920837072</c:v>
                </c:pt>
                <c:pt idx="1">
                  <c:v>0.52256728079352155</c:v>
                </c:pt>
                <c:pt idx="2">
                  <c:v>0.52424817878806296</c:v>
                </c:pt>
                <c:pt idx="3">
                  <c:v>0.53573919715066398</c:v>
                </c:pt>
                <c:pt idx="4">
                  <c:v>0.59882593990376531</c:v>
                </c:pt>
                <c:pt idx="5">
                  <c:v>0.6060284206317732</c:v>
                </c:pt>
                <c:pt idx="6">
                  <c:v>0.49058693191487029</c:v>
                </c:pt>
                <c:pt idx="7">
                  <c:v>0.58078838190688908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D9E-48D1-9E1C-552179CA8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0389823"/>
        <c:axId val="1610398559"/>
      </c:lineChart>
      <c:catAx>
        <c:axId val="1610389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610398559"/>
        <c:crosses val="autoZero"/>
        <c:auto val="1"/>
        <c:lblAlgn val="ctr"/>
        <c:lblOffset val="100"/>
        <c:noMultiLvlLbl val="0"/>
      </c:catAx>
      <c:valAx>
        <c:axId val="1610398559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610389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(M)'!$A$71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(M)'!$B$70:$I$70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(M)'!$B$71:$I$71</c:f>
              <c:numCache>
                <c:formatCode>0.0%</c:formatCode>
                <c:ptCount val="8"/>
                <c:pt idx="0">
                  <c:v>0.21670152419014502</c:v>
                </c:pt>
                <c:pt idx="1">
                  <c:v>0.19470131394887966</c:v>
                </c:pt>
                <c:pt idx="2">
                  <c:v>0.11894696422036376</c:v>
                </c:pt>
                <c:pt idx="3">
                  <c:v>0.10862913269341948</c:v>
                </c:pt>
                <c:pt idx="4">
                  <c:v>5.5797887101463772E-2</c:v>
                </c:pt>
                <c:pt idx="5">
                  <c:v>2.6102149219384477E-2</c:v>
                </c:pt>
                <c:pt idx="6">
                  <c:v>9.0312021219496136E-2</c:v>
                </c:pt>
                <c:pt idx="7">
                  <c:v>1.6213500114869349E-2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6E-4578-9577-003B2F9CF4EE}"/>
            </c:ext>
          </c:extLst>
        </c:ser>
        <c:ser>
          <c:idx val="1"/>
          <c:order val="1"/>
          <c:tx>
            <c:strRef>
              <c:f>'CAMELS (M)'!$A$72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(M)'!$B$70:$I$70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(M)'!$B$72:$I$72</c:f>
              <c:numCache>
                <c:formatCode>0.0%</c:formatCode>
                <c:ptCount val="8"/>
                <c:pt idx="0">
                  <c:v>0.22921703741019953</c:v>
                </c:pt>
                <c:pt idx="1">
                  <c:v>0.21579374603776144</c:v>
                </c:pt>
                <c:pt idx="2">
                  <c:v>0.21322162334207273</c:v>
                </c:pt>
                <c:pt idx="3">
                  <c:v>0.22044562093967623</c:v>
                </c:pt>
                <c:pt idx="4">
                  <c:v>0.18774366051262095</c:v>
                </c:pt>
                <c:pt idx="5">
                  <c:v>0.18942179165633297</c:v>
                </c:pt>
                <c:pt idx="6">
                  <c:v>0.19862184528002111</c:v>
                </c:pt>
                <c:pt idx="7">
                  <c:v>0.27213525115062515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6E-4578-9577-003B2F9CF4EE}"/>
            </c:ext>
          </c:extLst>
        </c:ser>
        <c:ser>
          <c:idx val="2"/>
          <c:order val="2"/>
          <c:tx>
            <c:strRef>
              <c:f>'CAMELS (M)'!$A$73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(M)'!$B$70:$I$70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(M)'!$B$73:$I$73</c:f>
              <c:numCache>
                <c:formatCode>0.0%</c:formatCode>
                <c:ptCount val="8"/>
                <c:pt idx="0">
                  <c:v>0.1959867610950945</c:v>
                </c:pt>
                <c:pt idx="1">
                  <c:v>0.11971062992267591</c:v>
                </c:pt>
                <c:pt idx="2">
                  <c:v>0.12379662435963359</c:v>
                </c:pt>
                <c:pt idx="3">
                  <c:v>0.15766465504203259</c:v>
                </c:pt>
                <c:pt idx="4">
                  <c:v>0.14461439927186162</c:v>
                </c:pt>
                <c:pt idx="5">
                  <c:v>0.10517298383897163</c:v>
                </c:pt>
                <c:pt idx="6">
                  <c:v>0.19376767620031654</c:v>
                </c:pt>
                <c:pt idx="7">
                  <c:v>0.18943689455460072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C5F-4220-9E4D-D2593614B698}"/>
            </c:ext>
          </c:extLst>
        </c:ser>
        <c:ser>
          <c:idx val="3"/>
          <c:order val="3"/>
          <c:tx>
            <c:strRef>
              <c:f>'CAMELS (M)'!$A$74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(M)'!$B$70:$I$70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(M)'!$B$74:$I$74</c:f>
              <c:numCache>
                <c:formatCode>0.0%</c:formatCode>
                <c:ptCount val="8"/>
                <c:pt idx="2">
                  <c:v>2.9963505330883294E-2</c:v>
                </c:pt>
                <c:pt idx="3">
                  <c:v>0.20376567161745765</c:v>
                </c:pt>
                <c:pt idx="4">
                  <c:v>0.19829595653215865</c:v>
                </c:pt>
                <c:pt idx="5">
                  <c:v>0.19621878909665633</c:v>
                </c:pt>
                <c:pt idx="6">
                  <c:v>0.18907582172309842</c:v>
                </c:pt>
                <c:pt idx="7">
                  <c:v>0.11664229999252386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C5F-4220-9E4D-D2593614B698}"/>
            </c:ext>
          </c:extLst>
        </c:ser>
        <c:ser>
          <c:idx val="4"/>
          <c:order val="4"/>
          <c:tx>
            <c:strRef>
              <c:f>'CAMELS (M)'!$A$75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(M)'!$B$70:$I$70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(M)'!$B$75:$I$75</c:f>
              <c:numCache>
                <c:formatCode>0.0%</c:formatCode>
                <c:ptCount val="8"/>
                <c:pt idx="3">
                  <c:v>0.24290684057531697</c:v>
                </c:pt>
                <c:pt idx="4">
                  <c:v>0.24086348197132587</c:v>
                </c:pt>
                <c:pt idx="5">
                  <c:v>0.19027277426007352</c:v>
                </c:pt>
                <c:pt idx="6">
                  <c:v>0.27786846737945614</c:v>
                </c:pt>
                <c:pt idx="7">
                  <c:v>0.32246333111792874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C5F-4220-9E4D-D2593614B698}"/>
            </c:ext>
          </c:extLst>
        </c:ser>
        <c:ser>
          <c:idx val="5"/>
          <c:order val="5"/>
          <c:tx>
            <c:strRef>
              <c:f>'CAMELS (M)'!$A$76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(M)'!$B$70:$I$70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(M)'!$B$76:$I$76</c:f>
              <c:numCache>
                <c:formatCode>0.0%</c:formatCode>
                <c:ptCount val="8"/>
                <c:pt idx="6">
                  <c:v>0.10449070646845801</c:v>
                </c:pt>
                <c:pt idx="7">
                  <c:v>8.0713480410887509E-2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C5F-4220-9E4D-D2593614B698}"/>
            </c:ext>
          </c:extLst>
        </c:ser>
        <c:ser>
          <c:idx val="6"/>
          <c:order val="6"/>
          <c:tx>
            <c:strRef>
              <c:f>'CAMELS (M)'!$A$77</c:f>
              <c:strCache>
                <c:ptCount val="1"/>
                <c:pt idx="0">
                  <c:v>Török bankszektor</c:v>
                </c:pt>
              </c:strCache>
            </c:strRef>
          </c:tx>
          <c:spPr>
            <a:ln w="28575" cap="rnd">
              <a:solidFill>
                <a:srgbClr val="6600CC">
                  <a:alpha val="31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(M)'!$B$70:$I$70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(M)'!$B$77:$I$77</c:f>
              <c:numCache>
                <c:formatCode>0.0%</c:formatCode>
                <c:ptCount val="8"/>
                <c:pt idx="0">
                  <c:v>0.23007031293089222</c:v>
                </c:pt>
                <c:pt idx="1">
                  <c:v>0.20134814621967831</c:v>
                </c:pt>
                <c:pt idx="2">
                  <c:v>0.24269869239886108</c:v>
                </c:pt>
                <c:pt idx="3">
                  <c:v>0.24561709440520832</c:v>
                </c:pt>
                <c:pt idx="4">
                  <c:v>0.17799485827643644</c:v>
                </c:pt>
                <c:pt idx="5">
                  <c:v>0.14118528939576963</c:v>
                </c:pt>
                <c:pt idx="6">
                  <c:v>0.176040435436251</c:v>
                </c:pt>
                <c:pt idx="7">
                  <c:v>0.18258800208295489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C4E-4ABF-BBDC-903AC20AB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0389823"/>
        <c:axId val="1610398559"/>
      </c:lineChart>
      <c:catAx>
        <c:axId val="1610389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610398559"/>
        <c:crosses val="autoZero"/>
        <c:auto val="1"/>
        <c:lblAlgn val="ctr"/>
        <c:lblOffset val="100"/>
        <c:noMultiLvlLbl val="0"/>
      </c:catAx>
      <c:valAx>
        <c:axId val="1610398559"/>
        <c:scaling>
          <c:orientation val="minMax"/>
          <c:max val="0.3500000000000000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610389823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(M)'!$A$83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(M)'!$B$82:$I$82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(M)'!$B$83:$I$83</c:f>
              <c:numCache>
                <c:formatCode>0.0%</c:formatCode>
                <c:ptCount val="8"/>
                <c:pt idx="0">
                  <c:v>3.4857121434544468E-2</c:v>
                </c:pt>
                <c:pt idx="1">
                  <c:v>3.5500914535583336E-2</c:v>
                </c:pt>
                <c:pt idx="2">
                  <c:v>3.6382318108043724E-2</c:v>
                </c:pt>
                <c:pt idx="3">
                  <c:v>3.8388722958633478E-2</c:v>
                </c:pt>
                <c:pt idx="4">
                  <c:v>4.7371056392753519E-2</c:v>
                </c:pt>
                <c:pt idx="5">
                  <c:v>4.9055027003231298E-2</c:v>
                </c:pt>
                <c:pt idx="6">
                  <c:v>2.7107932493139118E-2</c:v>
                </c:pt>
                <c:pt idx="7">
                  <c:v>3.0560618980715572E-2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58-431C-A663-AF949D7020E0}"/>
            </c:ext>
          </c:extLst>
        </c:ser>
        <c:ser>
          <c:idx val="1"/>
          <c:order val="1"/>
          <c:tx>
            <c:strRef>
              <c:f>'CAMELS (M)'!$A$84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(M)'!$B$82:$I$82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(M)'!$B$84:$I$84</c:f>
              <c:numCache>
                <c:formatCode>0.0%</c:formatCode>
                <c:ptCount val="8"/>
                <c:pt idx="0">
                  <c:v>2.6161397248469252E-2</c:v>
                </c:pt>
                <c:pt idx="1">
                  <c:v>2.6063273706844636E-2</c:v>
                </c:pt>
                <c:pt idx="2">
                  <c:v>2.9716511690967388E-2</c:v>
                </c:pt>
                <c:pt idx="3">
                  <c:v>3.005392127299825E-2</c:v>
                </c:pt>
                <c:pt idx="4">
                  <c:v>3.8393691696979718E-2</c:v>
                </c:pt>
                <c:pt idx="5">
                  <c:v>3.8066113876911042E-2</c:v>
                </c:pt>
                <c:pt idx="6">
                  <c:v>2.0478084899883488E-2</c:v>
                </c:pt>
                <c:pt idx="7">
                  <c:v>2.1273271206722164E-2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58-431C-A663-AF949D7020E0}"/>
            </c:ext>
          </c:extLst>
        </c:ser>
        <c:ser>
          <c:idx val="2"/>
          <c:order val="2"/>
          <c:tx>
            <c:strRef>
              <c:f>'CAMELS (M)'!$A$85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(M)'!$B$82:$I$82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(M)'!$B$85:$I$85</c:f>
              <c:numCache>
                <c:formatCode>0.0%</c:formatCode>
                <c:ptCount val="8"/>
                <c:pt idx="0">
                  <c:v>3.2009037823494339E-2</c:v>
                </c:pt>
                <c:pt idx="1">
                  <c:v>3.5669155301808503E-2</c:v>
                </c:pt>
                <c:pt idx="2">
                  <c:v>3.7924467445482557E-2</c:v>
                </c:pt>
                <c:pt idx="3">
                  <c:v>3.7133052498769414E-2</c:v>
                </c:pt>
                <c:pt idx="4">
                  <c:v>4.6583874296625867E-2</c:v>
                </c:pt>
                <c:pt idx="5">
                  <c:v>4.9516102359433739E-2</c:v>
                </c:pt>
                <c:pt idx="6">
                  <c:v>2.4857743233809289E-2</c:v>
                </c:pt>
                <c:pt idx="7">
                  <c:v>3.4235621663494573E-2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B58-431C-A663-AF949D7020E0}"/>
            </c:ext>
          </c:extLst>
        </c:ser>
        <c:ser>
          <c:idx val="3"/>
          <c:order val="3"/>
          <c:tx>
            <c:strRef>
              <c:f>'CAMELS (M)'!$A$86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(M)'!$B$82:$I$82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(M)'!$B$86:$I$86</c:f>
              <c:numCache>
                <c:formatCode>0.0%</c:formatCode>
                <c:ptCount val="8"/>
                <c:pt idx="2">
                  <c:v>2.6365577667059027E-2</c:v>
                </c:pt>
                <c:pt idx="3">
                  <c:v>3.7512239425070537E-2</c:v>
                </c:pt>
                <c:pt idx="4">
                  <c:v>5.1799841396414921E-2</c:v>
                </c:pt>
                <c:pt idx="5">
                  <c:v>6.1154137150476365E-2</c:v>
                </c:pt>
                <c:pt idx="6">
                  <c:v>3.5270193581351028E-2</c:v>
                </c:pt>
                <c:pt idx="7">
                  <c:v>4.826825235164179E-2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B58-431C-A663-AF949D7020E0}"/>
            </c:ext>
          </c:extLst>
        </c:ser>
        <c:ser>
          <c:idx val="4"/>
          <c:order val="4"/>
          <c:tx>
            <c:strRef>
              <c:f>'CAMELS (M)'!$A$87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(M)'!$B$82:$I$82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(M)'!$B$87:$I$87</c:f>
              <c:numCache>
                <c:formatCode>0.0%</c:formatCode>
                <c:ptCount val="8"/>
                <c:pt idx="3">
                  <c:v>3.3165570854824078E-2</c:v>
                </c:pt>
                <c:pt idx="4">
                  <c:v>5.2743736349653493E-2</c:v>
                </c:pt>
                <c:pt idx="5">
                  <c:v>5.415403134438599E-2</c:v>
                </c:pt>
                <c:pt idx="6">
                  <c:v>2.5301486364289996E-2</c:v>
                </c:pt>
                <c:pt idx="7">
                  <c:v>2.9510787955896223E-2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B58-431C-A663-AF949D7020E0}"/>
            </c:ext>
          </c:extLst>
        </c:ser>
        <c:ser>
          <c:idx val="5"/>
          <c:order val="5"/>
          <c:tx>
            <c:strRef>
              <c:f>'CAMELS (M)'!$A$88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(M)'!$B$82:$I$82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(M)'!$B$88:$I$88</c:f>
              <c:numCache>
                <c:formatCode>0.0%</c:formatCode>
                <c:ptCount val="8"/>
                <c:pt idx="6">
                  <c:v>1.8225099272066152E-2</c:v>
                </c:pt>
                <c:pt idx="7">
                  <c:v>1.3735458553814639E-2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1B58-431C-A663-AF949D7020E0}"/>
            </c:ext>
          </c:extLst>
        </c:ser>
        <c:ser>
          <c:idx val="6"/>
          <c:order val="6"/>
          <c:tx>
            <c:strRef>
              <c:f>'CAMELS (M)'!$A$89</c:f>
              <c:strCache>
                <c:ptCount val="1"/>
                <c:pt idx="0">
                  <c:v>Török bankszektor</c:v>
                </c:pt>
              </c:strCache>
            </c:strRef>
          </c:tx>
          <c:spPr>
            <a:ln w="28575" cap="rnd">
              <a:solidFill>
                <a:srgbClr val="6600CC">
                  <a:alpha val="31000"/>
                </a:srgb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(M)'!$B$82:$I$82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(M)'!$B$89:$I$89</c:f>
              <c:numCache>
                <c:formatCode>0.0%</c:formatCode>
                <c:ptCount val="8"/>
                <c:pt idx="0">
                  <c:v>3.7014660906479285E-2</c:v>
                </c:pt>
                <c:pt idx="1">
                  <c:v>3.7221684154827218E-2</c:v>
                </c:pt>
                <c:pt idx="2">
                  <c:v>3.8239555393663159E-2</c:v>
                </c:pt>
                <c:pt idx="3">
                  <c:v>4.1520765309086542E-2</c:v>
                </c:pt>
                <c:pt idx="4">
                  <c:v>5.8296952347938122E-2</c:v>
                </c:pt>
                <c:pt idx="5">
                  <c:v>5.8345979236578721E-2</c:v>
                </c:pt>
                <c:pt idx="6">
                  <c:v>3.4946237562540401E-2</c:v>
                </c:pt>
                <c:pt idx="7">
                  <c:v>4.160823859515618E-2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D4F-4D56-8B0B-B09ECAB37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10389823"/>
        <c:axId val="1610398559"/>
      </c:lineChart>
      <c:catAx>
        <c:axId val="1610389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610398559"/>
        <c:crosses val="autoZero"/>
        <c:auto val="1"/>
        <c:lblAlgn val="ctr"/>
        <c:lblOffset val="100"/>
        <c:noMultiLvlLbl val="0"/>
      </c:catAx>
      <c:valAx>
        <c:axId val="1610398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6103898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'CAMELS (E)'!$A$59</c:f>
              <c:strCache>
                <c:ptCount val="1"/>
                <c:pt idx="0">
                  <c:v>Albaraka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'CAMELS (E)'!$B$58:$I$58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(E)'!$B$59:$I$59</c:f>
              <c:numCache>
                <c:formatCode>0.0%</c:formatCode>
                <c:ptCount val="8"/>
                <c:pt idx="0">
                  <c:v>0.1410615843080148</c:v>
                </c:pt>
                <c:pt idx="1">
                  <c:v>0.14395217675247182</c:v>
                </c:pt>
                <c:pt idx="2">
                  <c:v>9.5459584232799446E-2</c:v>
                </c:pt>
                <c:pt idx="3">
                  <c:v>9.5543996266783157E-2</c:v>
                </c:pt>
                <c:pt idx="4">
                  <c:v>4.1076195840440345E-2</c:v>
                </c:pt>
                <c:pt idx="5">
                  <c:v>1.6596069681043265E-2</c:v>
                </c:pt>
                <c:pt idx="6">
                  <c:v>6.2987809536902847E-2</c:v>
                </c:pt>
                <c:pt idx="7">
                  <c:v>2.256458115267548E-2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B2-4393-9C74-ADA54278437C}"/>
            </c:ext>
          </c:extLst>
        </c:ser>
        <c:ser>
          <c:idx val="1"/>
          <c:order val="1"/>
          <c:tx>
            <c:strRef>
              <c:f>'CAMELS (E)'!$A$60</c:f>
              <c:strCache>
                <c:ptCount val="1"/>
                <c:pt idx="0">
                  <c:v>Kuveyt</c:v>
                </c:pt>
              </c:strCache>
            </c:strRef>
          </c:tx>
          <c:spPr>
            <a:ln w="158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'CAMELS (E)'!$B$58:$I$58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(E)'!$B$60:$I$60</c:f>
              <c:numCache>
                <c:formatCode>0.0%</c:formatCode>
                <c:ptCount val="8"/>
                <c:pt idx="0">
                  <c:v>0.12254910068908025</c:v>
                </c:pt>
                <c:pt idx="1">
                  <c:v>0.13069281614347139</c:v>
                </c:pt>
                <c:pt idx="2">
                  <c:v>0.13853709959755259</c:v>
                </c:pt>
                <c:pt idx="3">
                  <c:v>0.14680218533435296</c:v>
                </c:pt>
                <c:pt idx="4">
                  <c:v>0.15993445315325602</c:v>
                </c:pt>
                <c:pt idx="5">
                  <c:v>0.16270206954989452</c:v>
                </c:pt>
                <c:pt idx="6">
                  <c:v>0.17514246543850562</c:v>
                </c:pt>
                <c:pt idx="7">
                  <c:v>0.23924281999565261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B2-4393-9C74-ADA54278437C}"/>
            </c:ext>
          </c:extLst>
        </c:ser>
        <c:ser>
          <c:idx val="2"/>
          <c:order val="2"/>
          <c:tx>
            <c:strRef>
              <c:f>'CAMELS (E)'!$A$61</c:f>
              <c:strCache>
                <c:ptCount val="1"/>
                <c:pt idx="0">
                  <c:v>Turkiye</c:v>
                </c:pt>
              </c:strCache>
            </c:strRef>
          </c:tx>
          <c:spPr>
            <a:ln w="158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'CAMELS (E)'!$B$58:$I$58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(E)'!$B$61:$I$61</c:f>
              <c:numCache>
                <c:formatCode>0.0%</c:formatCode>
                <c:ptCount val="8"/>
                <c:pt idx="0">
                  <c:v>0.10597470327507962</c:v>
                </c:pt>
                <c:pt idx="1">
                  <c:v>7.7776258454216374E-2</c:v>
                </c:pt>
                <c:pt idx="2">
                  <c:v>8.08741107732594E-2</c:v>
                </c:pt>
                <c:pt idx="3">
                  <c:v>9.2439586484552277E-2</c:v>
                </c:pt>
                <c:pt idx="4">
                  <c:v>0.10287563717549647</c:v>
                </c:pt>
                <c:pt idx="5">
                  <c:v>7.8344274042334919E-2</c:v>
                </c:pt>
                <c:pt idx="6">
                  <c:v>0.12295538989485928</c:v>
                </c:pt>
                <c:pt idx="7">
                  <c:v>0.14047231009545214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1B2-4393-9C74-ADA54278437C}"/>
            </c:ext>
          </c:extLst>
        </c:ser>
        <c:ser>
          <c:idx val="3"/>
          <c:order val="3"/>
          <c:tx>
            <c:strRef>
              <c:f>'CAMELS (E)'!$A$62</c:f>
              <c:strCache>
                <c:ptCount val="1"/>
                <c:pt idx="0">
                  <c:v>Ziraat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'CAMELS (E)'!$B$58:$I$58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(E)'!$B$62:$I$62</c:f>
              <c:numCache>
                <c:formatCode>0.0%</c:formatCode>
                <c:ptCount val="8"/>
                <c:pt idx="2">
                  <c:v>1.5670508657230183E-2</c:v>
                </c:pt>
                <c:pt idx="3">
                  <c:v>0.11320378348071962</c:v>
                </c:pt>
                <c:pt idx="4">
                  <c:v>0.12779809949086349</c:v>
                </c:pt>
                <c:pt idx="5">
                  <c:v>0.16317116054297864</c:v>
                </c:pt>
                <c:pt idx="6">
                  <c:v>0.17100035267908908</c:v>
                </c:pt>
                <c:pt idx="7">
                  <c:v>0.12927423823996612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1B2-4393-9C74-ADA54278437C}"/>
            </c:ext>
          </c:extLst>
        </c:ser>
        <c:ser>
          <c:idx val="4"/>
          <c:order val="4"/>
          <c:tx>
            <c:strRef>
              <c:f>'CAMELS (E)'!$A$63</c:f>
              <c:strCache>
                <c:ptCount val="1"/>
                <c:pt idx="0">
                  <c:v>Vakif</c:v>
                </c:pt>
              </c:strCache>
            </c:strRef>
          </c:tx>
          <c:spPr>
            <a:ln w="158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'CAMELS (E)'!$B$58:$I$58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(E)'!$B$63:$I$63</c:f>
              <c:numCache>
                <c:formatCode>0.0%</c:formatCode>
                <c:ptCount val="8"/>
                <c:pt idx="3">
                  <c:v>0.12468081073396607</c:v>
                </c:pt>
                <c:pt idx="4">
                  <c:v>0.21306407827001372</c:v>
                </c:pt>
                <c:pt idx="5">
                  <c:v>0.16570008665303543</c:v>
                </c:pt>
                <c:pt idx="6">
                  <c:v>0.13897193453210813</c:v>
                </c:pt>
                <c:pt idx="7">
                  <c:v>0.14378206528542287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1B2-4393-9C74-ADA54278437C}"/>
            </c:ext>
          </c:extLst>
        </c:ser>
        <c:ser>
          <c:idx val="5"/>
          <c:order val="5"/>
          <c:tx>
            <c:strRef>
              <c:f>'CAMELS (E)'!$A$64</c:f>
              <c:strCache>
                <c:ptCount val="1"/>
                <c:pt idx="0">
                  <c:v>Emlak</c:v>
                </c:pt>
              </c:strCache>
            </c:strRef>
          </c:tx>
          <c:spPr>
            <a:ln w="158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'CAMELS (E)'!$B$58:$I$58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(E)'!$B$64:$I$64</c:f>
              <c:numCache>
                <c:formatCode>0.0%</c:formatCode>
                <c:ptCount val="8"/>
                <c:pt idx="6">
                  <c:v>5.236067060534047E-2</c:v>
                </c:pt>
                <c:pt idx="7">
                  <c:v>8.2799754458254715E-2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1B2-4393-9C74-ADA54278437C}"/>
            </c:ext>
          </c:extLst>
        </c:ser>
        <c:ser>
          <c:idx val="6"/>
          <c:order val="6"/>
          <c:tx>
            <c:strRef>
              <c:f>'CAMELS (E)'!$A$65</c:f>
              <c:strCache>
                <c:ptCount val="1"/>
                <c:pt idx="0">
                  <c:v>ROE érték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(E)'!$B$58:$I$58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(E)'!$B$65:$I$65</c:f>
              <c:numCache>
                <c:formatCode>0.0%</c:formatCode>
                <c:ptCount val="8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C6-45D5-AF31-B4A01E00E72C}"/>
            </c:ext>
          </c:extLst>
        </c:ser>
        <c:ser>
          <c:idx val="7"/>
          <c:order val="7"/>
          <c:tx>
            <c:strRef>
              <c:f>'CAMELS (E)'!$A$66</c:f>
              <c:strCache>
                <c:ptCount val="1"/>
                <c:pt idx="0">
                  <c:v>ROE érték</c:v>
                </c:pt>
              </c:strCache>
            </c:strRef>
          </c:tx>
          <c:spPr>
            <a:ln w="12700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'CAMELS (E)'!$B$58:$I$58</c:f>
              <c:numCache>
                <c:formatCode>General</c:formatCode>
                <c:ptCount val="8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</c:numCache>
            </c:numRef>
          </c:cat>
          <c:val>
            <c:numRef>
              <c:f>'CAMELS (E)'!$B$66:$I$66</c:f>
              <c:numCache>
                <c:formatCode>0.0%</c:formatCode>
                <c:ptCount val="8"/>
                <c:pt idx="0">
                  <c:v>0.12</c:v>
                </c:pt>
                <c:pt idx="1">
                  <c:v>0.12</c:v>
                </c:pt>
                <c:pt idx="2">
                  <c:v>0.12</c:v>
                </c:pt>
                <c:pt idx="3">
                  <c:v>0.12</c:v>
                </c:pt>
                <c:pt idx="4">
                  <c:v>0.12</c:v>
                </c:pt>
                <c:pt idx="5">
                  <c:v>0.12</c:v>
                </c:pt>
                <c:pt idx="6">
                  <c:v>0.12</c:v>
                </c:pt>
                <c:pt idx="7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C6-45D5-AF31-B4A01E00E7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20531727"/>
        <c:axId val="1720522575"/>
      </c:lineChart>
      <c:catAx>
        <c:axId val="1720531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20522575"/>
        <c:crosses val="autoZero"/>
        <c:auto val="1"/>
        <c:lblAlgn val="ctr"/>
        <c:lblOffset val="100"/>
        <c:noMultiLvlLbl val="0"/>
      </c:catAx>
      <c:valAx>
        <c:axId val="1720522575"/>
        <c:scaling>
          <c:orientation val="minMax"/>
          <c:max val="0.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17205317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6"/>
        <c:delete val="1"/>
      </c:legendEntry>
      <c:legendEntry>
        <c:idx val="7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83780</xdr:colOff>
      <xdr:row>58</xdr:row>
      <xdr:rowOff>5313</xdr:rowOff>
    </xdr:from>
    <xdr:to>
      <xdr:col>19</xdr:col>
      <xdr:colOff>724511</xdr:colOff>
      <xdr:row>68</xdr:row>
      <xdr:rowOff>26894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44969BCB-D412-685C-58BC-9D87D39D73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112891</xdr:colOff>
      <xdr:row>69</xdr:row>
      <xdr:rowOff>151072</xdr:rowOff>
    </xdr:from>
    <xdr:to>
      <xdr:col>19</xdr:col>
      <xdr:colOff>706582</xdr:colOff>
      <xdr:row>79</xdr:row>
      <xdr:rowOff>112888</xdr:rowOff>
    </xdr:to>
    <xdr:graphicFrame macro="">
      <xdr:nvGraphicFramePr>
        <xdr:cNvPr id="10" name="Diagram 9">
          <a:extLst>
            <a:ext uri="{FF2B5EF4-FFF2-40B4-BE49-F238E27FC236}">
              <a16:creationId xmlns:a16="http://schemas.microsoft.com/office/drawing/2014/main" id="{9A75F0D6-038E-4934-AC0D-C1AB6D0856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84666</xdr:colOff>
      <xdr:row>45</xdr:row>
      <xdr:rowOff>166675</xdr:rowOff>
    </xdr:from>
    <xdr:to>
      <xdr:col>19</xdr:col>
      <xdr:colOff>720436</xdr:colOff>
      <xdr:row>56</xdr:row>
      <xdr:rowOff>0</xdr:rowOff>
    </xdr:to>
    <xdr:graphicFrame macro="">
      <xdr:nvGraphicFramePr>
        <xdr:cNvPr id="14" name="Diagram 13">
          <a:extLst>
            <a:ext uri="{FF2B5EF4-FFF2-40B4-BE49-F238E27FC236}">
              <a16:creationId xmlns:a16="http://schemas.microsoft.com/office/drawing/2014/main" id="{104E8AC8-F664-82BD-784E-46A8F6B31E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94129</xdr:colOff>
      <xdr:row>40</xdr:row>
      <xdr:rowOff>170330</xdr:rowOff>
    </xdr:from>
    <xdr:to>
      <xdr:col>22</xdr:col>
      <xdr:colOff>8965</xdr:colOff>
      <xdr:row>50</xdr:row>
      <xdr:rowOff>125506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2314F98E-4E21-6577-A178-4490885D45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94129</xdr:colOff>
      <xdr:row>53</xdr:row>
      <xdr:rowOff>0</xdr:rowOff>
    </xdr:from>
    <xdr:to>
      <xdr:col>22</xdr:col>
      <xdr:colOff>8965</xdr:colOff>
      <xdr:row>63</xdr:row>
      <xdr:rowOff>0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BC0E3B6C-2AC2-85AD-9B19-C79EEBC482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115197</xdr:colOff>
      <xdr:row>41</xdr:row>
      <xdr:rowOff>2465</xdr:rowOff>
    </xdr:from>
    <xdr:to>
      <xdr:col>17</xdr:col>
      <xdr:colOff>833718</xdr:colOff>
      <xdr:row>50</xdr:row>
      <xdr:rowOff>143436</xdr:rowOff>
    </xdr:to>
    <xdr:graphicFrame macro="">
      <xdr:nvGraphicFramePr>
        <xdr:cNvPr id="20" name="Diagram 19">
          <a:extLst>
            <a:ext uri="{FF2B5EF4-FFF2-40B4-BE49-F238E27FC236}">
              <a16:creationId xmlns:a16="http://schemas.microsoft.com/office/drawing/2014/main" id="{7D373C0E-B167-B4E5-EE4C-2D9BE5F38B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116541</xdr:colOff>
      <xdr:row>67</xdr:row>
      <xdr:rowOff>176605</xdr:rowOff>
    </xdr:from>
    <xdr:to>
      <xdr:col>17</xdr:col>
      <xdr:colOff>838200</xdr:colOff>
      <xdr:row>77</xdr:row>
      <xdr:rowOff>152399</xdr:rowOff>
    </xdr:to>
    <xdr:graphicFrame macro="">
      <xdr:nvGraphicFramePr>
        <xdr:cNvPr id="21" name="Diagram 20">
          <a:extLst>
            <a:ext uri="{FF2B5EF4-FFF2-40B4-BE49-F238E27FC236}">
              <a16:creationId xmlns:a16="http://schemas.microsoft.com/office/drawing/2014/main" id="{60CF2844-5853-40B1-89E5-328CFE78CE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111161</xdr:colOff>
      <xdr:row>79</xdr:row>
      <xdr:rowOff>177949</xdr:rowOff>
    </xdr:from>
    <xdr:to>
      <xdr:col>17</xdr:col>
      <xdr:colOff>878541</xdr:colOff>
      <xdr:row>89</xdr:row>
      <xdr:rowOff>134471</xdr:rowOff>
    </xdr:to>
    <xdr:graphicFrame macro="">
      <xdr:nvGraphicFramePr>
        <xdr:cNvPr id="22" name="Diagram 21">
          <a:extLst>
            <a:ext uri="{FF2B5EF4-FFF2-40B4-BE49-F238E27FC236}">
              <a16:creationId xmlns:a16="http://schemas.microsoft.com/office/drawing/2014/main" id="{5F7C4E04-F219-49F9-908B-3BAB049472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106680</xdr:colOff>
      <xdr:row>55</xdr:row>
      <xdr:rowOff>171450</xdr:rowOff>
    </xdr:from>
    <xdr:to>
      <xdr:col>19</xdr:col>
      <xdr:colOff>571500</xdr:colOff>
      <xdr:row>66</xdr:row>
      <xdr:rowOff>144780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5D6C0ACC-8EA3-2063-F235-F4624D8C6C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106680</xdr:colOff>
      <xdr:row>68</xdr:row>
      <xdr:rowOff>171450</xdr:rowOff>
    </xdr:from>
    <xdr:to>
      <xdr:col>19</xdr:col>
      <xdr:colOff>571500</xdr:colOff>
      <xdr:row>79</xdr:row>
      <xdr:rowOff>152400</xdr:rowOff>
    </xdr:to>
    <xdr:graphicFrame macro="">
      <xdr:nvGraphicFramePr>
        <xdr:cNvPr id="9" name="Diagram 8">
          <a:extLst>
            <a:ext uri="{FF2B5EF4-FFF2-40B4-BE49-F238E27FC236}">
              <a16:creationId xmlns:a16="http://schemas.microsoft.com/office/drawing/2014/main" id="{B11BBB11-DF31-FFBA-2A85-D14D82D20F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91440</xdr:colOff>
      <xdr:row>110</xdr:row>
      <xdr:rowOff>179070</xdr:rowOff>
    </xdr:from>
    <xdr:to>
      <xdr:col>19</xdr:col>
      <xdr:colOff>579120</xdr:colOff>
      <xdr:row>121</xdr:row>
      <xdr:rowOff>160020</xdr:rowOff>
    </xdr:to>
    <xdr:graphicFrame macro="">
      <xdr:nvGraphicFramePr>
        <xdr:cNvPr id="10" name="Diagram 9">
          <a:extLst>
            <a:ext uri="{FF2B5EF4-FFF2-40B4-BE49-F238E27FC236}">
              <a16:creationId xmlns:a16="http://schemas.microsoft.com/office/drawing/2014/main" id="{BBBA64FD-D108-AF79-BC6B-B26C7FDC24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76</xdr:row>
      <xdr:rowOff>19050</xdr:rowOff>
    </xdr:from>
    <xdr:to>
      <xdr:col>19</xdr:col>
      <xdr:colOff>586740</xdr:colOff>
      <xdr:row>85</xdr:row>
      <xdr:rowOff>167640</xdr:rowOff>
    </xdr:to>
    <xdr:graphicFrame macro="">
      <xdr:nvGraphicFramePr>
        <xdr:cNvPr id="5" name="Diagram 4">
          <a:extLst>
            <a:ext uri="{FF2B5EF4-FFF2-40B4-BE49-F238E27FC236}">
              <a16:creationId xmlns:a16="http://schemas.microsoft.com/office/drawing/2014/main" id="{9D18DD53-1907-6434-F579-3114E5064D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83820</xdr:colOff>
      <xdr:row>102</xdr:row>
      <xdr:rowOff>167640</xdr:rowOff>
    </xdr:from>
    <xdr:to>
      <xdr:col>19</xdr:col>
      <xdr:colOff>556260</xdr:colOff>
      <xdr:row>112</xdr:row>
      <xdr:rowOff>129540</xdr:rowOff>
    </xdr:to>
    <xdr:graphicFrame macro="">
      <xdr:nvGraphicFramePr>
        <xdr:cNvPr id="7" name="Diagram 6">
          <a:extLst>
            <a:ext uri="{FF2B5EF4-FFF2-40B4-BE49-F238E27FC236}">
              <a16:creationId xmlns:a16="http://schemas.microsoft.com/office/drawing/2014/main" id="{055099DB-21B4-20B5-C858-37A686FC13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99060</xdr:colOff>
      <xdr:row>115</xdr:row>
      <xdr:rowOff>7620</xdr:rowOff>
    </xdr:from>
    <xdr:to>
      <xdr:col>19</xdr:col>
      <xdr:colOff>579120</xdr:colOff>
      <xdr:row>124</xdr:row>
      <xdr:rowOff>167640</xdr:rowOff>
    </xdr:to>
    <xdr:graphicFrame macro="">
      <xdr:nvGraphicFramePr>
        <xdr:cNvPr id="8" name="Diagram 7">
          <a:extLst>
            <a:ext uri="{FF2B5EF4-FFF2-40B4-BE49-F238E27FC236}">
              <a16:creationId xmlns:a16="http://schemas.microsoft.com/office/drawing/2014/main" id="{8D84ECF5-9E2A-0791-56F4-6D10394F0F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AE024-58DF-4AE7-AC47-74FF93076F46}">
  <dimension ref="A1:S113"/>
  <sheetViews>
    <sheetView showGridLines="0" tabSelected="1" zoomScale="70" zoomScaleNormal="70" workbookViewId="0">
      <selection activeCell="D20" sqref="D20"/>
    </sheetView>
  </sheetViews>
  <sheetFormatPr defaultRowHeight="14.4"/>
  <cols>
    <col min="1" max="1" width="12.33203125" customWidth="1"/>
    <col min="2" max="5" width="16.6640625" bestFit="1" customWidth="1"/>
    <col min="6" max="6" width="14.88671875" bestFit="1" customWidth="1"/>
    <col min="7" max="8" width="15.6640625" bestFit="1" customWidth="1"/>
    <col min="9" max="9" width="15.77734375" bestFit="1" customWidth="1"/>
    <col min="10" max="10" width="8.6640625" customWidth="1"/>
    <col min="11" max="11" width="12.5546875" customWidth="1"/>
    <col min="12" max="12" width="14.109375" bestFit="1" customWidth="1"/>
    <col min="13" max="17" width="14.6640625" bestFit="1" customWidth="1"/>
    <col min="18" max="19" width="15.6640625" bestFit="1" customWidth="1"/>
  </cols>
  <sheetData>
    <row r="1" spans="1:19" ht="27.6">
      <c r="A1" s="345" t="s">
        <v>135</v>
      </c>
      <c r="B1" s="345"/>
      <c r="C1" s="345"/>
      <c r="D1" s="345"/>
      <c r="E1" s="345"/>
      <c r="F1" s="345"/>
      <c r="G1" s="345"/>
      <c r="H1" s="345"/>
      <c r="I1" s="345"/>
      <c r="J1" s="248"/>
      <c r="K1" s="345" t="s">
        <v>137</v>
      </c>
      <c r="L1" s="345"/>
      <c r="M1" s="345"/>
      <c r="N1" s="345"/>
      <c r="O1" s="345"/>
      <c r="P1" s="345"/>
      <c r="Q1" s="345"/>
      <c r="R1" s="345"/>
      <c r="S1" s="345"/>
    </row>
    <row r="2" spans="1:19" ht="24" customHeight="1" thickBot="1">
      <c r="A2" s="344"/>
      <c r="B2" s="344"/>
      <c r="C2" s="344"/>
      <c r="D2" s="344"/>
      <c r="E2" s="344"/>
      <c r="F2" s="344"/>
      <c r="G2" s="344"/>
      <c r="H2" s="344"/>
      <c r="I2" s="344"/>
      <c r="J2" s="248"/>
      <c r="K2" s="343" t="s">
        <v>206</v>
      </c>
      <c r="L2" s="343"/>
      <c r="M2" s="343"/>
      <c r="N2" s="343"/>
      <c r="O2" s="343"/>
      <c r="P2" s="343"/>
      <c r="Q2" s="343"/>
      <c r="R2" s="343"/>
      <c r="S2" s="343"/>
    </row>
    <row r="3" spans="1:19" ht="15" thickBot="1">
      <c r="A3" s="339" t="s">
        <v>174</v>
      </c>
      <c r="B3" s="340"/>
      <c r="C3" s="340"/>
      <c r="D3" s="340"/>
      <c r="E3" s="340"/>
      <c r="F3" s="340"/>
      <c r="G3" s="340"/>
      <c r="H3" s="341" t="s">
        <v>127</v>
      </c>
      <c r="I3" s="342"/>
      <c r="J3" s="248"/>
      <c r="K3" s="339" t="s">
        <v>200</v>
      </c>
      <c r="L3" s="340"/>
      <c r="M3" s="340"/>
      <c r="N3" s="340"/>
      <c r="O3" s="340"/>
      <c r="P3" s="340"/>
      <c r="Q3" s="340"/>
      <c r="R3" s="341" t="s">
        <v>127</v>
      </c>
      <c r="S3" s="342"/>
    </row>
    <row r="4" spans="1:19">
      <c r="A4" s="188"/>
      <c r="B4" s="182">
        <v>2014</v>
      </c>
      <c r="C4" s="182">
        <v>2015</v>
      </c>
      <c r="D4" s="182">
        <v>2016</v>
      </c>
      <c r="E4" s="182">
        <v>2017</v>
      </c>
      <c r="F4" s="182">
        <v>2018</v>
      </c>
      <c r="G4" s="182">
        <v>2019</v>
      </c>
      <c r="H4" s="182">
        <v>2020</v>
      </c>
      <c r="I4" s="189">
        <v>2021</v>
      </c>
      <c r="J4" s="248"/>
      <c r="K4" s="188"/>
      <c r="L4" s="182">
        <v>2014</v>
      </c>
      <c r="M4" s="182">
        <v>2015</v>
      </c>
      <c r="N4" s="182">
        <v>2016</v>
      </c>
      <c r="O4" s="182">
        <v>2017</v>
      </c>
      <c r="P4" s="182">
        <v>2018</v>
      </c>
      <c r="Q4" s="182">
        <v>2019</v>
      </c>
      <c r="R4" s="182">
        <v>2020</v>
      </c>
      <c r="S4" s="189">
        <v>2021</v>
      </c>
    </row>
    <row r="5" spans="1:19">
      <c r="A5" s="72" t="s">
        <v>187</v>
      </c>
      <c r="B5" s="10">
        <f>'Albaraka Turk (éves)'!B25</f>
        <v>23046424</v>
      </c>
      <c r="C5" s="10">
        <f>'Albaraka Turk (éves)'!C25</f>
        <v>29561999</v>
      </c>
      <c r="D5" s="10">
        <f>'Albaraka Turk (éves)'!D25</f>
        <v>32850738</v>
      </c>
      <c r="E5" s="10">
        <f>'Albaraka Turk (éves)'!E25</f>
        <v>36229077</v>
      </c>
      <c r="F5" s="10">
        <f>'Albaraka Turk (éves)'!F25</f>
        <v>42223652</v>
      </c>
      <c r="G5" s="10">
        <f>'Albaraka Turk (éves)'!G25</f>
        <v>51392368</v>
      </c>
      <c r="H5" s="10">
        <f>'Albaraka Turk (éves)'!H25</f>
        <v>69315799</v>
      </c>
      <c r="I5" s="69">
        <f>'Albaraka Turk (éves)'!I25</f>
        <v>108955123</v>
      </c>
      <c r="J5" s="248"/>
      <c r="K5" s="72" t="s">
        <v>187</v>
      </c>
      <c r="L5" s="10">
        <f>'Albaraka Turk (éves)'!B34</f>
        <v>1502306</v>
      </c>
      <c r="M5" s="10">
        <f>'Albaraka Turk (éves)'!C34</f>
        <v>1935159</v>
      </c>
      <c r="N5" s="10">
        <f>'Albaraka Turk (éves)'!D34</f>
        <v>2218804</v>
      </c>
      <c r="O5" s="10">
        <f>'Albaraka Turk (éves)'!E34</f>
        <v>2658587</v>
      </c>
      <c r="P5" s="10">
        <f>'Albaraka Turk (éves)'!F34</f>
        <v>3019738</v>
      </c>
      <c r="Q5" s="10">
        <f>'Albaraka Turk (éves)'!G34</f>
        <v>3344284</v>
      </c>
      <c r="R5" s="10">
        <f>'Albaraka Turk (éves)'!H34</f>
        <v>3584628</v>
      </c>
      <c r="S5" s="69">
        <f>'Albaraka Turk (éves)'!I34</f>
        <v>5023098</v>
      </c>
    </row>
    <row r="6" spans="1:19">
      <c r="A6" s="72" t="s">
        <v>188</v>
      </c>
      <c r="B6" s="10">
        <f>'Kuveyt Turk (éves)'!B25</f>
        <v>33543583</v>
      </c>
      <c r="C6" s="10">
        <f>'Kuveyt Turk (éves)'!C25</f>
        <v>42052507</v>
      </c>
      <c r="D6" s="10">
        <f>'Kuveyt Turk (éves)'!D25</f>
        <v>48476955</v>
      </c>
      <c r="E6" s="10">
        <f>'Kuveyt Turk (éves)'!E25</f>
        <v>57123095</v>
      </c>
      <c r="F6" s="10">
        <f>'Kuveyt Turk (éves)'!F25</f>
        <v>74232325</v>
      </c>
      <c r="G6" s="10">
        <f>'Kuveyt Turk (éves)'!G25</f>
        <v>104439345</v>
      </c>
      <c r="H6" s="10">
        <f>'Kuveyt Turk (éves)'!H25</f>
        <v>152290315</v>
      </c>
      <c r="I6" s="69">
        <f>'Kuveyt Turk (éves)'!I25</f>
        <v>254068260</v>
      </c>
      <c r="J6" s="248"/>
      <c r="K6" s="72" t="s">
        <v>188</v>
      </c>
      <c r="L6" s="10">
        <f>'Kuveyt Turk (éves)'!B34</f>
        <v>2018781</v>
      </c>
      <c r="M6" s="10">
        <f>'Kuveyt Turk (éves)'!C34</f>
        <v>2564838</v>
      </c>
      <c r="N6" s="10">
        <f>'Kuveyt Turk (éves)'!D34</f>
        <v>3110435</v>
      </c>
      <c r="O6" s="10">
        <f>'Kuveyt Turk (éves)'!E34</f>
        <v>3850986</v>
      </c>
      <c r="P6" s="10">
        <f>'Kuveyt Turk (éves)'!F34</f>
        <v>5997843</v>
      </c>
      <c r="Q6" s="10">
        <f>'Kuveyt Turk (éves)'!G34</f>
        <v>7471511</v>
      </c>
      <c r="R6" s="10">
        <f>'Kuveyt Turk (éves)'!H34</f>
        <v>9327690</v>
      </c>
      <c r="S6" s="69">
        <f>'Kuveyt Turk (éves)'!I34</f>
        <v>13035305</v>
      </c>
    </row>
    <row r="7" spans="1:19">
      <c r="A7" s="72" t="s">
        <v>189</v>
      </c>
      <c r="B7" s="10">
        <f>'Turkiye Finans (éves)'!B25</f>
        <v>33494790</v>
      </c>
      <c r="C7" s="10">
        <f>'Turkiye Finans (éves)'!C25</f>
        <v>38576299</v>
      </c>
      <c r="D7" s="10">
        <f>'Turkiye Finans (éves)'!D25</f>
        <v>38807717</v>
      </c>
      <c r="E7" s="10">
        <f>'Turkiye Finans (éves)'!E25</f>
        <v>39080897</v>
      </c>
      <c r="F7" s="10">
        <f>'Turkiye Finans (éves)'!F25</f>
        <v>47052484</v>
      </c>
      <c r="G7" s="10">
        <f>'Turkiye Finans (éves)'!G25</f>
        <v>52427410</v>
      </c>
      <c r="H7" s="10">
        <f>'Turkiye Finans (éves)'!H25</f>
        <v>81370822</v>
      </c>
      <c r="I7" s="69">
        <f>'Turkiye Finans (éves)'!I25</f>
        <v>115643263</v>
      </c>
      <c r="J7" s="248"/>
      <c r="K7" s="72" t="s">
        <v>189</v>
      </c>
      <c r="L7" s="10">
        <f>'Turkiye Finans (éves)'!B34</f>
        <v>2169968</v>
      </c>
      <c r="M7" s="10">
        <f>'Turkiye Finans (éves)'!C34</f>
        <v>2780246</v>
      </c>
      <c r="N7" s="10">
        <f>'Turkiye Finans (éves)'!D34</f>
        <v>2981301</v>
      </c>
      <c r="O7" s="10">
        <f>'Turkiye Finans (éves)'!E34</f>
        <v>2902629</v>
      </c>
      <c r="P7" s="10">
        <f>'Turkiye Finans (éves)'!F34</f>
        <v>3937713</v>
      </c>
      <c r="Q7" s="10">
        <f>'Turkiye Finans (éves)'!G34</f>
        <v>4536840</v>
      </c>
      <c r="R7" s="10">
        <f>'Turkiye Finans (éves)'!H34</f>
        <v>4504291</v>
      </c>
      <c r="S7" s="69">
        <f>'Turkiye Finans (éves)'!I34</f>
        <v>6382801</v>
      </c>
    </row>
    <row r="8" spans="1:19">
      <c r="A8" s="72" t="s">
        <v>190</v>
      </c>
      <c r="B8" s="76" t="str">
        <f>'Ziraat Katilim (éves)'!B25</f>
        <v>-</v>
      </c>
      <c r="C8" s="76">
        <f>'Ziraat Katilim (éves)'!C25</f>
        <v>2177435</v>
      </c>
      <c r="D8" s="76">
        <f>'Ziraat Katilim (éves)'!D25</f>
        <v>7959507</v>
      </c>
      <c r="E8" s="76">
        <f>'Ziraat Katilim (éves)'!E25</f>
        <v>14350143</v>
      </c>
      <c r="F8" s="76">
        <f>'Ziraat Katilim (éves)'!F25</f>
        <v>25477356</v>
      </c>
      <c r="G8" s="76">
        <f>'Ziraat Katilim (éves)'!G25</f>
        <v>36392174</v>
      </c>
      <c r="H8" s="76">
        <f>'Ziraat Katilim (éves)'!H25</f>
        <v>60186996</v>
      </c>
      <c r="I8" s="174">
        <f>'Ziraat Katilim (éves)'!I25</f>
        <v>98312592</v>
      </c>
      <c r="J8" s="248"/>
      <c r="K8" s="72" t="s">
        <v>190</v>
      </c>
      <c r="L8" s="76" t="str">
        <f>'Ziraat Katilim (éves)'!B34</f>
        <v>-</v>
      </c>
      <c r="M8" s="76">
        <f>'Ziraat Katilim (éves)'!C34</f>
        <v>86425</v>
      </c>
      <c r="N8" s="76">
        <f>'Ziraat Katilim (éves)'!D34</f>
        <v>390742</v>
      </c>
      <c r="O8" s="76">
        <f>'Ziraat Katilim (éves)'!E34</f>
        <v>981392</v>
      </c>
      <c r="P8" s="76">
        <f>'Ziraat Katilim (éves)'!F34</f>
        <v>2328382</v>
      </c>
      <c r="Q8" s="76">
        <f>'Ziraat Katilim (éves)'!G34</f>
        <v>3594457</v>
      </c>
      <c r="R8" s="76">
        <f>'Ziraat Katilim (éves)'!H34</f>
        <v>4191345</v>
      </c>
      <c r="S8" s="174">
        <f>'Ziraat Katilim (éves)'!I34</f>
        <v>6259916</v>
      </c>
    </row>
    <row r="9" spans="1:19">
      <c r="A9" s="72" t="s">
        <v>191</v>
      </c>
      <c r="B9" s="76" t="str">
        <f>'Vakif Katilim (éves)'!B25</f>
        <v>-</v>
      </c>
      <c r="C9" s="76">
        <f>'Vakif Katilim (éves)'!C25</f>
        <v>862030</v>
      </c>
      <c r="D9" s="76">
        <f>'Vakif Katilim (éves)'!D25</f>
        <v>4681933</v>
      </c>
      <c r="E9" s="76">
        <f>'Vakif Katilim (éves)'!E25</f>
        <v>13210145</v>
      </c>
      <c r="F9" s="76">
        <f>'Vakif Katilim (éves)'!F25</f>
        <v>20955512</v>
      </c>
      <c r="G9" s="76">
        <f>'Vakif Katilim (éves)'!G25</f>
        <v>30348784</v>
      </c>
      <c r="H9" s="76">
        <f>'Vakif Katilim (éves)'!H25</f>
        <v>53157628</v>
      </c>
      <c r="I9" s="174">
        <f>'Vakif Katilim (éves)'!I25</f>
        <v>100757086</v>
      </c>
      <c r="J9" s="248"/>
      <c r="K9" s="72" t="s">
        <v>191</v>
      </c>
      <c r="L9" s="76" t="str">
        <f>'Vakif Katilim (éves)'!B34</f>
        <v>-</v>
      </c>
      <c r="M9" s="76">
        <f>'Vakif Katilim (éves)'!C34</f>
        <v>10068</v>
      </c>
      <c r="N9" s="76">
        <f>'Vakif Katilim (éves)'!D34</f>
        <v>140987</v>
      </c>
      <c r="O9" s="76">
        <f>'Vakif Katilim (éves)'!E34</f>
        <v>699371</v>
      </c>
      <c r="P9" s="76">
        <f>'Vakif Katilim (éves)'!F34</f>
        <v>1718762</v>
      </c>
      <c r="Q9" s="76">
        <f>'Vakif Katilim (éves)'!G34</f>
        <v>2323643</v>
      </c>
      <c r="R9" s="76">
        <f>'Vakif Katilim (éves)'!H34</f>
        <v>3031096</v>
      </c>
      <c r="S9" s="174">
        <f>'Vakif Katilim (éves)'!I34</f>
        <v>5165347</v>
      </c>
    </row>
    <row r="10" spans="1:19">
      <c r="A10" s="72" t="s">
        <v>192</v>
      </c>
      <c r="B10" s="76" t="str">
        <f>'Emlak Katilim (éves)'!B25</f>
        <v>-</v>
      </c>
      <c r="C10" s="76" t="str">
        <f>'Emlak Katilim (éves)'!C25</f>
        <v>-</v>
      </c>
      <c r="D10" s="76" t="str">
        <f>'Emlak Katilim (éves)'!D25</f>
        <v>-</v>
      </c>
      <c r="E10" s="76" t="str">
        <f>'Emlak Katilim (éves)'!E25</f>
        <v>-</v>
      </c>
      <c r="F10" s="76">
        <f>'Emlak Katilim (éves)'!F25</f>
        <v>1138798</v>
      </c>
      <c r="G10" s="76">
        <f>'Emlak Katilim (éves)'!G25</f>
        <v>9282271</v>
      </c>
      <c r="H10" s="76">
        <f>'Emlak Katilim (éves)'!H25</f>
        <v>20390177</v>
      </c>
      <c r="I10" s="174">
        <f>'Emlak Katilim (éves)'!I25</f>
        <v>38759900</v>
      </c>
      <c r="J10" s="248"/>
      <c r="K10" s="72" t="s">
        <v>192</v>
      </c>
      <c r="L10" s="76" t="str">
        <f>'Emlak Katilim (éves)'!B34</f>
        <v>-</v>
      </c>
      <c r="M10" s="76" t="str">
        <f>'Emlak Katilim (éves)'!C34</f>
        <v>-</v>
      </c>
      <c r="N10" s="76" t="str">
        <f>'Emlak Katilim (éves)'!D34</f>
        <v>-</v>
      </c>
      <c r="O10" s="76" t="str">
        <f>'Emlak Katilim (éves)'!E34</f>
        <v>-</v>
      </c>
      <c r="P10" s="76">
        <f>'Emlak Katilim (éves)'!F34</f>
        <v>211955</v>
      </c>
      <c r="Q10" s="76">
        <f>'Emlak Katilim (éves)'!G34</f>
        <v>429813</v>
      </c>
      <c r="R10" s="76">
        <f>'Emlak Katilim (éves)'!H34</f>
        <v>999620</v>
      </c>
      <c r="S10" s="174">
        <f>'Emlak Katilim (éves)'!I34</f>
        <v>2329202</v>
      </c>
    </row>
    <row r="11" spans="1:19" ht="28.8" thickBot="1">
      <c r="A11" s="242" t="s">
        <v>169</v>
      </c>
      <c r="B11" s="244">
        <v>1888308478</v>
      </c>
      <c r="C11" s="244">
        <v>2235994713.5601697</v>
      </c>
      <c r="D11" s="244">
        <v>2595347984</v>
      </c>
      <c r="E11" s="244">
        <v>3095039170</v>
      </c>
      <c r="F11" s="244">
        <v>3656359182</v>
      </c>
      <c r="G11" s="244">
        <v>4201885172</v>
      </c>
      <c r="H11" s="244">
        <v>5663536186</v>
      </c>
      <c r="I11" s="245">
        <v>8489361144</v>
      </c>
      <c r="J11" s="248"/>
      <c r="K11" s="242" t="s">
        <v>169</v>
      </c>
      <c r="L11" s="244">
        <v>134785734</v>
      </c>
      <c r="M11" s="244">
        <v>159266552</v>
      </c>
      <c r="N11" s="244">
        <v>189309104</v>
      </c>
      <c r="O11" s="244">
        <v>239871183</v>
      </c>
      <c r="P11" s="244">
        <v>355954181</v>
      </c>
      <c r="Q11" s="244">
        <v>404540606.76629996</v>
      </c>
      <c r="R11" s="244">
        <v>403433659</v>
      </c>
      <c r="S11" s="245">
        <v>608186002</v>
      </c>
    </row>
    <row r="12" spans="1:19" ht="24" thickBot="1">
      <c r="A12" s="346" t="s">
        <v>203</v>
      </c>
      <c r="B12" s="346"/>
      <c r="C12" s="346"/>
      <c r="D12" s="346"/>
      <c r="E12" s="346"/>
      <c r="F12" s="346"/>
      <c r="G12" s="346"/>
      <c r="H12" s="346"/>
      <c r="I12" s="346"/>
      <c r="J12" s="248"/>
    </row>
    <row r="13" spans="1:19" ht="15" thickBot="1">
      <c r="A13" s="339" t="s">
        <v>161</v>
      </c>
      <c r="B13" s="340"/>
      <c r="C13" s="340"/>
      <c r="D13" s="340"/>
      <c r="E13" s="340"/>
      <c r="F13" s="340"/>
      <c r="G13" s="340"/>
      <c r="H13" s="341" t="s">
        <v>127</v>
      </c>
      <c r="I13" s="342"/>
      <c r="J13" s="248"/>
      <c r="K13" s="339" t="s">
        <v>201</v>
      </c>
      <c r="L13" s="340"/>
      <c r="M13" s="340"/>
      <c r="N13" s="340"/>
      <c r="O13" s="340"/>
      <c r="P13" s="340"/>
      <c r="Q13" s="340"/>
      <c r="R13" s="341" t="s">
        <v>127</v>
      </c>
      <c r="S13" s="342"/>
    </row>
    <row r="14" spans="1:19">
      <c r="A14" s="188"/>
      <c r="B14" s="182">
        <v>2014</v>
      </c>
      <c r="C14" s="182">
        <v>2015</v>
      </c>
      <c r="D14" s="182">
        <v>2016</v>
      </c>
      <c r="E14" s="182">
        <v>2017</v>
      </c>
      <c r="F14" s="182">
        <v>2018</v>
      </c>
      <c r="G14" s="182">
        <v>2019</v>
      </c>
      <c r="H14" s="182">
        <v>2020</v>
      </c>
      <c r="I14" s="189">
        <v>2021</v>
      </c>
      <c r="J14" s="248"/>
      <c r="K14" s="188"/>
      <c r="L14" s="182">
        <v>2014</v>
      </c>
      <c r="M14" s="182">
        <v>2015</v>
      </c>
      <c r="N14" s="182">
        <v>2016</v>
      </c>
      <c r="O14" s="182">
        <v>2017</v>
      </c>
      <c r="P14" s="182">
        <v>2018</v>
      </c>
      <c r="Q14" s="182">
        <v>2019</v>
      </c>
      <c r="R14" s="182">
        <v>2020</v>
      </c>
      <c r="S14" s="189">
        <v>2021</v>
      </c>
    </row>
    <row r="15" spans="1:19">
      <c r="A15" s="72" t="s">
        <v>187</v>
      </c>
      <c r="B15" s="10">
        <f>'Albaraka Turk (éves)'!B4</f>
        <v>3129186</v>
      </c>
      <c r="C15" s="10">
        <f>'Albaraka Turk (éves)'!C4</f>
        <v>4904798</v>
      </c>
      <c r="D15" s="10">
        <f>'Albaraka Turk (éves)'!D4</f>
        <v>4999052</v>
      </c>
      <c r="E15" s="10">
        <f>'Albaraka Turk (éves)'!E4</f>
        <v>5756995</v>
      </c>
      <c r="F15" s="10">
        <f>'Albaraka Turk (éves)'!F4</f>
        <v>5918381</v>
      </c>
      <c r="G15" s="10">
        <f>'Albaraka Turk (éves)'!G4</f>
        <v>8795909</v>
      </c>
      <c r="H15" s="10">
        <f>'Albaraka Turk (éves)'!H4</f>
        <v>13235008</v>
      </c>
      <c r="I15" s="69">
        <f>'Albaraka Turk (éves)'!I4</f>
        <v>26498611</v>
      </c>
      <c r="J15" s="248"/>
      <c r="K15" s="72" t="s">
        <v>187</v>
      </c>
      <c r="L15" s="10">
        <f>'Albaraka Turk (éves)'!B35</f>
        <v>803332</v>
      </c>
      <c r="M15" s="10">
        <f>'Albaraka Turk (éves)'!C35</f>
        <v>1049478</v>
      </c>
      <c r="N15" s="10">
        <f>'Albaraka Turk (éves)'!D35</f>
        <v>1195186</v>
      </c>
      <c r="O15" s="10">
        <f>'Albaraka Turk (éves)'!E35</f>
        <v>1390788</v>
      </c>
      <c r="P15" s="10">
        <f>'Albaraka Turk (éves)'!F35</f>
        <v>2000179</v>
      </c>
      <c r="Q15" s="10">
        <f>'Albaraka Turk (éves)'!G35</f>
        <v>2521054</v>
      </c>
      <c r="R15" s="10">
        <f>'Albaraka Turk (éves)'!H35</f>
        <v>1879008</v>
      </c>
      <c r="S15" s="69">
        <f>'Albaraka Turk (éves)'!I35</f>
        <v>3329736</v>
      </c>
    </row>
    <row r="16" spans="1:19">
      <c r="A16" s="72" t="s">
        <v>188</v>
      </c>
      <c r="B16" s="10">
        <f>'Kuveyt Turk (éves)'!B4</f>
        <v>6584642</v>
      </c>
      <c r="C16" s="10">
        <f>'Kuveyt Turk (éves)'!C4</f>
        <v>7568815</v>
      </c>
      <c r="D16" s="10">
        <f>'Kuveyt Turk (éves)'!D4</f>
        <v>8303052</v>
      </c>
      <c r="E16" s="10">
        <f>'Kuveyt Turk (éves)'!E4</f>
        <v>8932856</v>
      </c>
      <c r="F16" s="10">
        <f>'Kuveyt Turk (éves)'!F4</f>
        <v>10436088</v>
      </c>
      <c r="G16" s="10">
        <f>'Kuveyt Turk (éves)'!G4</f>
        <v>18893086</v>
      </c>
      <c r="H16" s="10">
        <f>'Kuveyt Turk (éves)'!H4</f>
        <v>24647910</v>
      </c>
      <c r="I16" s="69">
        <f>'Kuveyt Turk (éves)'!I4</f>
        <v>65455316</v>
      </c>
      <c r="J16" s="248"/>
      <c r="K16" s="72" t="s">
        <v>188</v>
      </c>
      <c r="L16" s="10">
        <f>'Kuveyt Turk (éves)'!B35</f>
        <v>877547</v>
      </c>
      <c r="M16" s="10">
        <f>'Kuveyt Turk (éves)'!C35</f>
        <v>1096026</v>
      </c>
      <c r="N16" s="10">
        <f>'Kuveyt Turk (éves)'!D35</f>
        <v>1440566</v>
      </c>
      <c r="O16" s="10">
        <f>'Kuveyt Turk (éves)'!E35</f>
        <v>1716773</v>
      </c>
      <c r="P16" s="10">
        <f>'Kuveyt Turk (éves)'!F35</f>
        <v>2850053</v>
      </c>
      <c r="Q16" s="10">
        <f>'Kuveyt Turk (éves)'!G35</f>
        <v>3975600</v>
      </c>
      <c r="R16" s="10">
        <f>'Kuveyt Turk (éves)'!H35</f>
        <v>3118614</v>
      </c>
      <c r="S16" s="69">
        <f>'Kuveyt Turk (éves)'!I35</f>
        <v>5404863</v>
      </c>
    </row>
    <row r="17" spans="1:19">
      <c r="A17" s="72" t="s">
        <v>189</v>
      </c>
      <c r="B17" s="10">
        <f>'Turkiye Finans (éves)'!B4</f>
        <v>5156624</v>
      </c>
      <c r="C17" s="10">
        <f>'Turkiye Finans (éves)'!C4</f>
        <v>5372503</v>
      </c>
      <c r="D17" s="10">
        <f>'Turkiye Finans (éves)'!D4</f>
        <v>5668857</v>
      </c>
      <c r="E17" s="10">
        <f>'Turkiye Finans (éves)'!E4</f>
        <v>6084201</v>
      </c>
      <c r="F17" s="10">
        <f>'Turkiye Finans (éves)'!F4</f>
        <v>8598464</v>
      </c>
      <c r="G17" s="10">
        <f>'Turkiye Finans (éves)'!G4</f>
        <v>8108551</v>
      </c>
      <c r="H17" s="10">
        <f>'Turkiye Finans (éves)'!H4</f>
        <v>12660566</v>
      </c>
      <c r="I17" s="69">
        <f>'Turkiye Finans (éves)'!I4</f>
        <v>24205153</v>
      </c>
      <c r="J17" s="248"/>
      <c r="K17" s="72" t="s">
        <v>189</v>
      </c>
      <c r="L17" s="10">
        <f>'Turkiye Finans (éves)'!B35</f>
        <v>1072136</v>
      </c>
      <c r="M17" s="10">
        <f>'Turkiye Finans (éves)'!C35</f>
        <v>1375984</v>
      </c>
      <c r="N17" s="10">
        <f>'Turkiye Finans (éves)'!D35</f>
        <v>1471762</v>
      </c>
      <c r="O17" s="10">
        <f>'Turkiye Finans (éves)'!E35</f>
        <v>1451193</v>
      </c>
      <c r="P17" s="10">
        <f>'Turkiye Finans (éves)'!F35</f>
        <v>2191887</v>
      </c>
      <c r="Q17" s="10">
        <f>'Turkiye Finans (éves)'!G35</f>
        <v>2596001</v>
      </c>
      <c r="R17" s="10">
        <f>'Turkiye Finans (éves)'!H35</f>
        <v>2022695</v>
      </c>
      <c r="S17" s="69">
        <f>'Turkiye Finans (éves)'!I35</f>
        <v>3959119</v>
      </c>
    </row>
    <row r="18" spans="1:19">
      <c r="A18" s="72" t="s">
        <v>190</v>
      </c>
      <c r="B18" s="76" t="str">
        <f>'Ziraat Katilim (éves)'!B4</f>
        <v>-</v>
      </c>
      <c r="C18" s="76">
        <f>'Ziraat Katilim (éves)'!C4</f>
        <v>167076</v>
      </c>
      <c r="D18" s="76">
        <f>'Ziraat Katilim (éves)'!D4</f>
        <v>1201298</v>
      </c>
      <c r="E18" s="76">
        <f>'Ziraat Katilim (éves)'!E4</f>
        <v>1643689</v>
      </c>
      <c r="F18" s="76">
        <f>'Ziraat Katilim (éves)'!F4</f>
        <v>2007313</v>
      </c>
      <c r="G18" s="76">
        <f>'Ziraat Katilim (éves)'!G4</f>
        <v>2894439</v>
      </c>
      <c r="H18" s="76">
        <f>'Ziraat Katilim (éves)'!H4</f>
        <v>5477120</v>
      </c>
      <c r="I18" s="174">
        <f>'Ziraat Katilim (éves)'!I4</f>
        <v>15290691</v>
      </c>
      <c r="J18" s="248"/>
      <c r="K18" s="72" t="s">
        <v>190</v>
      </c>
      <c r="L18" s="76" t="str">
        <f>'Ziraat Katilim (éves)'!B35</f>
        <v>-</v>
      </c>
      <c r="M18" s="76">
        <f>'Ziraat Katilim (éves)'!C35</f>
        <v>17976</v>
      </c>
      <c r="N18" s="76">
        <f>'Ziraat Katilim (éves)'!D35</f>
        <v>180885</v>
      </c>
      <c r="O18" s="76">
        <f>'Ziraat Katilim (éves)'!E35</f>
        <v>538306</v>
      </c>
      <c r="P18" s="76">
        <f>'Ziraat Katilim (éves)'!F35</f>
        <v>1462961</v>
      </c>
      <c r="Q18" s="76">
        <f>'Ziraat Katilim (éves)'!G35</f>
        <v>2225532</v>
      </c>
      <c r="R18" s="76">
        <f>'Ziraat Katilim (éves)'!H35</f>
        <v>2122807</v>
      </c>
      <c r="S18" s="174">
        <f>'Ziraat Katilim (éves)'!I35</f>
        <v>4745377</v>
      </c>
    </row>
    <row r="19" spans="1:19">
      <c r="A19" s="72" t="s">
        <v>191</v>
      </c>
      <c r="B19" s="76" t="str">
        <f>'Vakif Katilim (éves)'!B4</f>
        <v>-</v>
      </c>
      <c r="C19" s="76">
        <f>'Vakif Katilim (éves)'!C4</f>
        <v>1</v>
      </c>
      <c r="D19" s="76">
        <f>'Vakif Katilim (éves)'!D4</f>
        <v>550931</v>
      </c>
      <c r="E19" s="76">
        <f>'Vakif Katilim (éves)'!E4</f>
        <v>2189837</v>
      </c>
      <c r="F19" s="76">
        <f>'Vakif Katilim (éves)'!F4</f>
        <v>4135990</v>
      </c>
      <c r="G19" s="76">
        <f>'Vakif Katilim (éves)'!G4</f>
        <v>2932045</v>
      </c>
      <c r="H19" s="76">
        <f>'Vakif Katilim (éves)'!H4</f>
        <v>9357790</v>
      </c>
      <c r="I19" s="174">
        <f>'Vakif Katilim (éves)'!I4</f>
        <v>18315738</v>
      </c>
      <c r="J19" s="248"/>
      <c r="K19" s="72" t="s">
        <v>191</v>
      </c>
      <c r="L19" s="76" t="str">
        <f>'Vakif Katilim (éves)'!B35</f>
        <v>-</v>
      </c>
      <c r="M19" s="76" t="str">
        <f>'Vakif Katilim (éves)'!C35</f>
        <v>-</v>
      </c>
      <c r="N19" s="76">
        <f>'Vakif Katilim (éves)'!D35</f>
        <v>42355</v>
      </c>
      <c r="O19" s="76">
        <f>'Vakif Katilim (éves)'!E35</f>
        <v>438122</v>
      </c>
      <c r="P19" s="76">
        <f>'Vakif Katilim (éves)'!F35</f>
        <v>1105272</v>
      </c>
      <c r="Q19" s="76">
        <f>'Vakif Katilim (éves)'!G35</f>
        <v>1643509</v>
      </c>
      <c r="R19" s="76">
        <f>'Vakif Katilim (éves)'!H35</f>
        <v>1344967</v>
      </c>
      <c r="S19" s="174">
        <f>'Vakif Katilim (éves)'!I35</f>
        <v>2973421</v>
      </c>
    </row>
    <row r="20" spans="1:19">
      <c r="A20" s="72" t="s">
        <v>192</v>
      </c>
      <c r="B20" s="76" t="str">
        <f>'Emlak Katilim (éves)'!B4</f>
        <v>-</v>
      </c>
      <c r="C20" s="76" t="str">
        <f>'Emlak Katilim (éves)'!C4</f>
        <v>-</v>
      </c>
      <c r="D20" s="76" t="str">
        <f>'Emlak Katilim (éves)'!D4</f>
        <v>-</v>
      </c>
      <c r="E20" s="76" t="str">
        <f>'Emlak Katilim (éves)'!E4</f>
        <v>-</v>
      </c>
      <c r="F20" s="76">
        <f>'Emlak Katilim (éves)'!F4</f>
        <v>6</v>
      </c>
      <c r="G20" s="76">
        <f>'Emlak Katilim (éves)'!G4</f>
        <v>784075</v>
      </c>
      <c r="H20" s="76">
        <f>'Emlak Katilim (éves)'!H4</f>
        <v>2267097</v>
      </c>
      <c r="I20" s="174">
        <f>'Emlak Katilim (éves)'!I4</f>
        <v>6236435</v>
      </c>
      <c r="J20" s="248"/>
      <c r="K20" s="72" t="s">
        <v>192</v>
      </c>
      <c r="L20" s="76" t="str">
        <f>'Emlak Katilim (éves)'!B35</f>
        <v>-</v>
      </c>
      <c r="M20" s="76" t="str">
        <f>'Emlak Katilim (éves)'!C35</f>
        <v>-</v>
      </c>
      <c r="N20" s="76" t="str">
        <f>'Emlak Katilim (éves)'!D35</f>
        <v>-</v>
      </c>
      <c r="O20" s="76" t="str">
        <f>'Emlak Katilim (éves)'!E35</f>
        <v>-</v>
      </c>
      <c r="P20" s="76" t="str">
        <f>'Emlak Katilim (éves)'!F35</f>
        <v>-</v>
      </c>
      <c r="Q20" s="76">
        <f>'Emlak Katilim (éves)'!G35</f>
        <v>212161</v>
      </c>
      <c r="R20" s="76">
        <f>'Emlak Katilim (éves)'!H35</f>
        <v>371613</v>
      </c>
      <c r="S20" s="174">
        <f>'Emlak Katilim (éves)'!I35</f>
        <v>532385</v>
      </c>
    </row>
    <row r="21" spans="1:19" ht="28.8" thickBot="1">
      <c r="A21" s="242" t="s">
        <v>169</v>
      </c>
      <c r="B21" s="244">
        <v>214596338</v>
      </c>
      <c r="C21" s="244">
        <v>251700099</v>
      </c>
      <c r="D21" s="244">
        <v>289437636</v>
      </c>
      <c r="E21" s="244">
        <v>340880658</v>
      </c>
      <c r="F21" s="244">
        <v>372246445</v>
      </c>
      <c r="G21" s="244">
        <v>388535153</v>
      </c>
      <c r="H21" s="244">
        <v>610530302</v>
      </c>
      <c r="I21" s="245">
        <v>1284756142</v>
      </c>
      <c r="J21" s="248"/>
      <c r="K21" s="242" t="s">
        <v>169</v>
      </c>
      <c r="L21" s="244">
        <v>69895098</v>
      </c>
      <c r="M21" s="244">
        <v>83227489</v>
      </c>
      <c r="N21" s="244">
        <v>99244953</v>
      </c>
      <c r="O21" s="244">
        <v>128508395</v>
      </c>
      <c r="P21" s="244">
        <v>213154597</v>
      </c>
      <c r="Q21" s="244">
        <v>245163105</v>
      </c>
      <c r="R21" s="244">
        <v>197919281</v>
      </c>
      <c r="S21" s="245">
        <v>353227364</v>
      </c>
    </row>
    <row r="22" spans="1:19" ht="24" thickBot="1">
      <c r="J22" s="248"/>
      <c r="K22" s="343" t="s">
        <v>205</v>
      </c>
      <c r="L22" s="343"/>
      <c r="M22" s="343"/>
      <c r="N22" s="343"/>
      <c r="O22" s="343"/>
      <c r="P22" s="343"/>
      <c r="Q22" s="343"/>
      <c r="R22" s="343"/>
      <c r="S22" s="343"/>
    </row>
    <row r="23" spans="1:19" ht="15" thickBot="1">
      <c r="A23" s="339" t="s">
        <v>162</v>
      </c>
      <c r="B23" s="340"/>
      <c r="C23" s="340"/>
      <c r="D23" s="340"/>
      <c r="E23" s="340"/>
      <c r="F23" s="340"/>
      <c r="G23" s="340"/>
      <c r="H23" s="341" t="s">
        <v>127</v>
      </c>
      <c r="I23" s="342"/>
      <c r="J23" s="248"/>
      <c r="K23" s="339" t="s">
        <v>202</v>
      </c>
      <c r="L23" s="340"/>
      <c r="M23" s="340"/>
      <c r="N23" s="340"/>
      <c r="O23" s="340"/>
      <c r="P23" s="340"/>
      <c r="Q23" s="340"/>
      <c r="R23" s="341"/>
      <c r="S23" s="342"/>
    </row>
    <row r="24" spans="1:19">
      <c r="A24" s="188"/>
      <c r="B24" s="182">
        <v>2014</v>
      </c>
      <c r="C24" s="182">
        <v>2015</v>
      </c>
      <c r="D24" s="182">
        <v>2016</v>
      </c>
      <c r="E24" s="182">
        <v>2017</v>
      </c>
      <c r="F24" s="182">
        <v>2018</v>
      </c>
      <c r="G24" s="182">
        <v>2019</v>
      </c>
      <c r="H24" s="182">
        <v>2020</v>
      </c>
      <c r="I24" s="189">
        <v>2021</v>
      </c>
      <c r="J24" s="248"/>
      <c r="K24" s="188"/>
      <c r="L24" s="182">
        <v>2014</v>
      </c>
      <c r="M24" s="182">
        <v>2015</v>
      </c>
      <c r="N24" s="182">
        <v>2016</v>
      </c>
      <c r="O24" s="182">
        <v>2017</v>
      </c>
      <c r="P24" s="182">
        <v>2018</v>
      </c>
      <c r="Q24" s="182">
        <v>2019</v>
      </c>
      <c r="R24" s="182">
        <v>2020</v>
      </c>
      <c r="S24" s="189">
        <v>2021</v>
      </c>
    </row>
    <row r="25" spans="1:19">
      <c r="A25" s="72" t="s">
        <v>187</v>
      </c>
      <c r="B25" s="10">
        <f>'Albaraka Turk (éves)'!B5</f>
        <v>1648235</v>
      </c>
      <c r="C25" s="10">
        <f>'Albaraka Turk (éves)'!C5</f>
        <v>2482614</v>
      </c>
      <c r="D25" s="10">
        <f>'Albaraka Turk (éves)'!D5</f>
        <v>2158177</v>
      </c>
      <c r="E25" s="10">
        <f>'Albaraka Turk (éves)'!E5</f>
        <v>1511407</v>
      </c>
      <c r="F25" s="10">
        <f>'Albaraka Turk (éves)'!F5</f>
        <v>5217047</v>
      </c>
      <c r="G25" s="10">
        <f>'Albaraka Turk (éves)'!G5</f>
        <v>4187332</v>
      </c>
      <c r="H25" s="10">
        <f>'Albaraka Turk (éves)'!H5</f>
        <v>3413346</v>
      </c>
      <c r="I25" s="69">
        <f>'Albaraka Turk (éves)'!I5</f>
        <v>5296422</v>
      </c>
      <c r="J25" s="248"/>
      <c r="K25" s="72" t="s">
        <v>187</v>
      </c>
      <c r="L25" s="10">
        <v>977566</v>
      </c>
      <c r="M25" s="10">
        <v>1188174</v>
      </c>
      <c r="N25" s="10">
        <v>1356320</v>
      </c>
      <c r="O25" s="10">
        <v>1583765</v>
      </c>
      <c r="P25" s="10">
        <v>1937322</v>
      </c>
      <c r="Q25" s="10">
        <v>1989852</v>
      </c>
      <c r="R25" s="10">
        <v>2768130</v>
      </c>
      <c r="S25" s="69">
        <v>3379044</v>
      </c>
    </row>
    <row r="26" spans="1:19">
      <c r="A26" s="72" t="s">
        <v>188</v>
      </c>
      <c r="B26" s="10">
        <f>'Kuveyt Turk (éves)'!B5</f>
        <v>2667534</v>
      </c>
      <c r="C26" s="10">
        <f>'Kuveyt Turk (éves)'!C5</f>
        <v>3583494</v>
      </c>
      <c r="D26" s="10">
        <f>'Kuveyt Turk (éves)'!D5</f>
        <v>4698081</v>
      </c>
      <c r="E26" s="10">
        <f>'Kuveyt Turk (éves)'!E5</f>
        <v>3576020</v>
      </c>
      <c r="F26" s="10">
        <f>'Kuveyt Turk (éves)'!F5</f>
        <v>6419648</v>
      </c>
      <c r="G26" s="10">
        <f>'Kuveyt Turk (éves)'!G5</f>
        <v>6990830</v>
      </c>
      <c r="H26" s="10">
        <f>'Kuveyt Turk (éves)'!H5</f>
        <v>5809467</v>
      </c>
      <c r="I26" s="69">
        <f>'Kuveyt Turk (éves)'!I5</f>
        <v>14522944</v>
      </c>
      <c r="J26" s="248"/>
      <c r="K26" s="72" t="s">
        <v>188</v>
      </c>
      <c r="L26" s="10">
        <v>1569700</v>
      </c>
      <c r="M26" s="10">
        <v>1989599</v>
      </c>
      <c r="N26" s="10">
        <v>2291992</v>
      </c>
      <c r="O26" s="10">
        <v>2852316</v>
      </c>
      <c r="P26" s="10">
        <v>4608540</v>
      </c>
      <c r="Q26" s="10">
        <v>6025234</v>
      </c>
      <c r="R26" s="10">
        <v>7779292</v>
      </c>
      <c r="S26" s="69">
        <v>11300470</v>
      </c>
    </row>
    <row r="27" spans="1:19">
      <c r="A27" s="72" t="s">
        <v>189</v>
      </c>
      <c r="B27" s="10">
        <f>'Turkiye Finans (éves)'!B5</f>
        <v>572606</v>
      </c>
      <c r="C27" s="10">
        <f>'Turkiye Finans (éves)'!C5</f>
        <v>225369</v>
      </c>
      <c r="D27" s="10">
        <f>'Turkiye Finans (éves)'!D5</f>
        <v>561766</v>
      </c>
      <c r="E27" s="10">
        <f>'Turkiye Finans (éves)'!E5</f>
        <v>307436</v>
      </c>
      <c r="F27" s="10">
        <f>'Turkiye Finans (éves)'!F5</f>
        <v>1435300</v>
      </c>
      <c r="G27" s="10">
        <f>'Turkiye Finans (éves)'!G5</f>
        <v>3603961</v>
      </c>
      <c r="H27" s="10">
        <f>'Turkiye Finans (éves)'!H5</f>
        <v>7146052</v>
      </c>
      <c r="I27" s="69">
        <f>'Turkiye Finans (éves)'!I5</f>
        <v>7000050</v>
      </c>
      <c r="J27" s="248"/>
      <c r="K27" s="72" t="s">
        <v>189</v>
      </c>
      <c r="L27" s="10">
        <v>1443288</v>
      </c>
      <c r="M27" s="10">
        <v>1691839</v>
      </c>
      <c r="N27" s="10">
        <v>2065634</v>
      </c>
      <c r="O27" s="10">
        <v>1914055</v>
      </c>
      <c r="P27" s="10">
        <v>2578511</v>
      </c>
      <c r="Q27" s="10">
        <v>2919452</v>
      </c>
      <c r="R27" s="10">
        <v>3590918</v>
      </c>
      <c r="S27" s="69">
        <v>4161348</v>
      </c>
    </row>
    <row r="28" spans="1:19">
      <c r="A28" s="72" t="s">
        <v>190</v>
      </c>
      <c r="B28" s="76" t="str">
        <f>'Ziraat Katilim (éves)'!B5</f>
        <v>-</v>
      </c>
      <c r="C28" s="76">
        <f>'Ziraat Katilim (éves)'!C5</f>
        <v>112565</v>
      </c>
      <c r="D28" s="76">
        <f>'Ziraat Katilim (éves)'!D5</f>
        <v>468454</v>
      </c>
      <c r="E28" s="76">
        <f>'Ziraat Katilim (éves)'!E5</f>
        <v>278581</v>
      </c>
      <c r="F28" s="76">
        <f>'Ziraat Katilim (éves)'!F5</f>
        <v>802706</v>
      </c>
      <c r="G28" s="76">
        <f>'Ziraat Katilim (éves)'!G5</f>
        <v>916418</v>
      </c>
      <c r="H28" s="76">
        <f>'Ziraat Katilim (éves)'!H5</f>
        <v>4799768</v>
      </c>
      <c r="I28" s="174">
        <f>'Ziraat Katilim (éves)'!I5</f>
        <v>3350140</v>
      </c>
      <c r="J28" s="248"/>
      <c r="K28" s="72" t="s">
        <v>190</v>
      </c>
      <c r="L28" s="76"/>
      <c r="M28" s="76">
        <v>71410</v>
      </c>
      <c r="N28" s="76">
        <v>232831</v>
      </c>
      <c r="O28" s="76">
        <v>487648</v>
      </c>
      <c r="P28" s="76">
        <v>1117342</v>
      </c>
      <c r="Q28" s="76">
        <v>1709625</v>
      </c>
      <c r="R28" s="76">
        <v>2512637</v>
      </c>
      <c r="S28" s="174">
        <v>2428324</v>
      </c>
    </row>
    <row r="29" spans="1:19">
      <c r="A29" s="72" t="s">
        <v>191</v>
      </c>
      <c r="B29" s="76" t="str">
        <f>'Vakif Katilim (éves)'!B5</f>
        <v>-</v>
      </c>
      <c r="C29" s="76">
        <f>'Vakif Katilim (éves)'!C5</f>
        <v>834389</v>
      </c>
      <c r="D29" s="76">
        <f>'Vakif Katilim (éves)'!D5</f>
        <v>584227</v>
      </c>
      <c r="E29" s="76">
        <f>'Vakif Katilim (éves)'!E5</f>
        <v>514334</v>
      </c>
      <c r="F29" s="76">
        <f>'Vakif Katilim (éves)'!F5</f>
        <v>1393622</v>
      </c>
      <c r="G29" s="76">
        <f>'Vakif Katilim (éves)'!G5</f>
        <v>1956364</v>
      </c>
      <c r="H29" s="76">
        <f>'Vakif Katilim (éves)'!H5</f>
        <v>687028</v>
      </c>
      <c r="I29" s="174">
        <f>'Vakif Katilim (éves)'!I5</f>
        <v>2331387</v>
      </c>
      <c r="J29" s="248"/>
      <c r="K29" s="72" t="s">
        <v>191</v>
      </c>
      <c r="L29" s="76"/>
      <c r="M29" s="76">
        <v>70565</v>
      </c>
      <c r="N29" s="76">
        <v>135813</v>
      </c>
      <c r="O29" s="76">
        <v>456920</v>
      </c>
      <c r="P29" s="76">
        <v>972211</v>
      </c>
      <c r="Q29" s="76">
        <v>1392541</v>
      </c>
      <c r="R29" s="76">
        <v>2282223</v>
      </c>
      <c r="S29" s="174">
        <v>3609511</v>
      </c>
    </row>
    <row r="30" spans="1:19">
      <c r="A30" s="72" t="s">
        <v>192</v>
      </c>
      <c r="B30" s="76" t="str">
        <f>'Emlak Katilim (éves)'!B5</f>
        <v>-</v>
      </c>
      <c r="C30" s="76" t="str">
        <f>'Emlak Katilim (éves)'!C5</f>
        <v>-</v>
      </c>
      <c r="D30" s="76" t="str">
        <f>'Emlak Katilim (éves)'!D5</f>
        <v>-</v>
      </c>
      <c r="E30" s="76" t="str">
        <f>'Emlak Katilim (éves)'!E5</f>
        <v>-</v>
      </c>
      <c r="F30" s="76">
        <f>'Emlak Katilim (éves)'!F5</f>
        <v>657595</v>
      </c>
      <c r="G30" s="76">
        <f>'Emlak Katilim (éves)'!G5</f>
        <v>162057</v>
      </c>
      <c r="H30" s="76">
        <f>'Emlak Katilim (éves)'!H5</f>
        <v>910842</v>
      </c>
      <c r="I30" s="174">
        <f>'Emlak Katilim (éves)'!I5</f>
        <v>1533115</v>
      </c>
      <c r="J30" s="248"/>
      <c r="K30" s="72" t="s">
        <v>192</v>
      </c>
      <c r="L30" s="76"/>
      <c r="M30" s="76"/>
      <c r="N30" s="76"/>
      <c r="O30" s="76"/>
      <c r="P30" s="76">
        <v>490820</v>
      </c>
      <c r="Q30" s="76">
        <v>272916</v>
      </c>
      <c r="R30" s="76">
        <v>500377</v>
      </c>
      <c r="S30" s="174">
        <v>801333</v>
      </c>
    </row>
    <row r="31" spans="1:19" ht="28.8" thickBot="1">
      <c r="A31" s="242" t="s">
        <v>169</v>
      </c>
      <c r="B31" s="244">
        <v>48114415</v>
      </c>
      <c r="C31" s="244">
        <v>61849069</v>
      </c>
      <c r="D31" s="244">
        <v>67061275</v>
      </c>
      <c r="E31" s="244">
        <v>82154701</v>
      </c>
      <c r="F31" s="244">
        <v>109997559</v>
      </c>
      <c r="G31" s="244">
        <v>136967069</v>
      </c>
      <c r="H31" s="244">
        <v>129682593</v>
      </c>
      <c r="I31" s="245">
        <v>319817995</v>
      </c>
      <c r="J31" s="248"/>
      <c r="K31" s="242" t="s">
        <v>169</v>
      </c>
      <c r="L31" s="244">
        <v>88993843</v>
      </c>
      <c r="M31" s="244">
        <v>99186794</v>
      </c>
      <c r="N31" s="244">
        <v>121107843</v>
      </c>
      <c r="O31" s="244">
        <v>138813711</v>
      </c>
      <c r="P31" s="244">
        <v>150154448</v>
      </c>
      <c r="Q31" s="244">
        <v>198989749</v>
      </c>
      <c r="R31" s="244">
        <v>252806601</v>
      </c>
      <c r="S31" s="245">
        <v>329345215</v>
      </c>
    </row>
    <row r="32" spans="1:19" ht="15" thickBot="1">
      <c r="J32" s="248"/>
    </row>
    <row r="33" spans="1:19" ht="15" thickBot="1">
      <c r="A33" s="339" t="s">
        <v>163</v>
      </c>
      <c r="B33" s="340"/>
      <c r="C33" s="340"/>
      <c r="D33" s="340"/>
      <c r="E33" s="340"/>
      <c r="F33" s="340"/>
      <c r="G33" s="340"/>
      <c r="H33" s="341" t="s">
        <v>127</v>
      </c>
      <c r="I33" s="342"/>
      <c r="J33" s="248"/>
      <c r="K33" s="339" t="s">
        <v>113</v>
      </c>
      <c r="L33" s="340"/>
      <c r="M33" s="340"/>
      <c r="N33" s="340"/>
      <c r="O33" s="340"/>
      <c r="P33" s="340"/>
      <c r="Q33" s="340"/>
      <c r="R33" s="341" t="s">
        <v>127</v>
      </c>
      <c r="S33" s="342"/>
    </row>
    <row r="34" spans="1:19">
      <c r="A34" s="188"/>
      <c r="B34" s="182">
        <v>2014</v>
      </c>
      <c r="C34" s="182">
        <v>2015</v>
      </c>
      <c r="D34" s="182">
        <v>2016</v>
      </c>
      <c r="E34" s="182">
        <v>2017</v>
      </c>
      <c r="F34" s="182">
        <v>2018</v>
      </c>
      <c r="G34" s="182">
        <v>2019</v>
      </c>
      <c r="H34" s="182">
        <v>2020</v>
      </c>
      <c r="I34" s="189">
        <v>2021</v>
      </c>
      <c r="J34" s="248"/>
      <c r="K34" s="188"/>
      <c r="L34" s="182">
        <v>2014</v>
      </c>
      <c r="M34" s="182">
        <v>2015</v>
      </c>
      <c r="N34" s="182">
        <v>2016</v>
      </c>
      <c r="O34" s="182">
        <v>2017</v>
      </c>
      <c r="P34" s="182">
        <v>2018</v>
      </c>
      <c r="Q34" s="182">
        <v>2019</v>
      </c>
      <c r="R34" s="182">
        <v>2020</v>
      </c>
      <c r="S34" s="189">
        <v>2021</v>
      </c>
    </row>
    <row r="35" spans="1:19">
      <c r="A35" s="72" t="s">
        <v>187</v>
      </c>
      <c r="B35" s="10">
        <f>'Albaraka Turk (éves)'!B6</f>
        <v>659760</v>
      </c>
      <c r="C35" s="10">
        <f>'Albaraka Turk (éves)'!C6</f>
        <v>1051566</v>
      </c>
      <c r="D35" s="10">
        <f>'Albaraka Turk (éves)'!D6</f>
        <v>1382690</v>
      </c>
      <c r="E35" s="10">
        <f>'Albaraka Turk (éves)'!E6</f>
        <v>1349233</v>
      </c>
      <c r="F35" s="10">
        <f>'Albaraka Turk (éves)'!F6</f>
        <v>1229522</v>
      </c>
      <c r="G35" s="10">
        <f>'Albaraka Turk (éves)'!G6</f>
        <v>2014632</v>
      </c>
      <c r="H35" s="10">
        <f>'Albaraka Turk (éves)'!H6</f>
        <v>1163448</v>
      </c>
      <c r="I35" s="69">
        <f>'Albaraka Turk (éves)'!I6</f>
        <v>752358</v>
      </c>
      <c r="J35" s="248"/>
      <c r="K35" s="72" t="s">
        <v>187</v>
      </c>
      <c r="L35" s="10">
        <f>'Albaraka Turk (éves)'!B37</f>
        <v>128336</v>
      </c>
      <c r="M35" s="10">
        <f>'Albaraka Turk (éves)'!C37</f>
        <v>135997</v>
      </c>
      <c r="N35" s="10">
        <f>'Albaraka Turk (éves)'!D37</f>
        <v>145935</v>
      </c>
      <c r="O35" s="10">
        <f>'Albaraka Turk (éves)'!E37</f>
        <v>148457</v>
      </c>
      <c r="P35" s="10">
        <f>'Albaraka Turk (éves)'!F37</f>
        <v>198153</v>
      </c>
      <c r="Q35" s="10">
        <f>'Albaraka Turk (éves)'!G37</f>
        <v>299829</v>
      </c>
      <c r="R35" s="10">
        <f>'Albaraka Turk (éves)'!H37</f>
        <v>233567</v>
      </c>
      <c r="S35" s="69">
        <f>'Albaraka Turk (éves)'!I37</f>
        <v>405756</v>
      </c>
    </row>
    <row r="36" spans="1:19">
      <c r="A36" s="72" t="s">
        <v>188</v>
      </c>
      <c r="B36" s="10">
        <f>'Kuveyt Turk (éves)'!B6</f>
        <v>2204189</v>
      </c>
      <c r="C36" s="10">
        <f>'Kuveyt Turk (éves)'!C6</f>
        <v>2330367</v>
      </c>
      <c r="D36" s="10">
        <f>'Kuveyt Turk (éves)'!D6</f>
        <v>3592926</v>
      </c>
      <c r="E36" s="10">
        <f>'Kuveyt Turk (éves)'!E6</f>
        <v>4428065</v>
      </c>
      <c r="F36" s="10">
        <f>'Kuveyt Turk (éves)'!F6</f>
        <v>6396065</v>
      </c>
      <c r="G36" s="10">
        <f>'Kuveyt Turk (éves)'!G6</f>
        <v>12630467</v>
      </c>
      <c r="H36" s="10">
        <f>'Kuveyt Turk (éves)'!H6</f>
        <v>20795073</v>
      </c>
      <c r="I36" s="69">
        <f>'Kuveyt Turk (éves)'!I6</f>
        <v>32165357</v>
      </c>
      <c r="J36" s="248"/>
      <c r="K36" s="72" t="s">
        <v>188</v>
      </c>
      <c r="L36" s="10">
        <f>'Kuveyt Turk (éves)'!B37</f>
        <v>133895</v>
      </c>
      <c r="M36" s="10">
        <f>'Kuveyt Turk (éves)'!C37</f>
        <v>152584</v>
      </c>
      <c r="N36" s="10">
        <f>'Kuveyt Turk (éves)'!D37</f>
        <v>152970</v>
      </c>
      <c r="O36" s="10">
        <f>'Kuveyt Turk (éves)'!E37</f>
        <v>241002</v>
      </c>
      <c r="P36" s="10">
        <f>'Kuveyt Turk (éves)'!F37</f>
        <v>349546</v>
      </c>
      <c r="Q36" s="10">
        <f>'Kuveyt Turk (éves)'!G37</f>
        <v>468907</v>
      </c>
      <c r="R36" s="10">
        <f>'Kuveyt Turk (éves)'!H37</f>
        <v>350721</v>
      </c>
      <c r="S36" s="69">
        <f>'Kuveyt Turk (éves)'!I37</f>
        <v>577758</v>
      </c>
    </row>
    <row r="37" spans="1:19">
      <c r="A37" s="72" t="s">
        <v>189</v>
      </c>
      <c r="B37" s="10">
        <f>'Turkiye Finans (éves)'!B6</f>
        <v>1976154</v>
      </c>
      <c r="C37" s="10">
        <f>'Turkiye Finans (éves)'!C6</f>
        <v>2284563</v>
      </c>
      <c r="D37" s="10">
        <f>'Turkiye Finans (éves)'!D6</f>
        <v>3281267</v>
      </c>
      <c r="E37" s="10">
        <f>'Turkiye Finans (éves)'!E6</f>
        <v>3729348</v>
      </c>
      <c r="F37" s="10">
        <f>'Turkiye Finans (éves)'!F6</f>
        <v>3107096</v>
      </c>
      <c r="G37" s="10">
        <f>'Turkiye Finans (éves)'!G6</f>
        <v>5004537</v>
      </c>
      <c r="H37" s="10">
        <f>'Turkiye Finans (éves)'!H6</f>
        <v>8376943</v>
      </c>
      <c r="I37" s="69">
        <f>'Turkiye Finans (éves)'!I6</f>
        <v>17176966</v>
      </c>
      <c r="J37" s="248"/>
      <c r="K37" s="72" t="s">
        <v>189</v>
      </c>
      <c r="L37" s="10">
        <f>'Turkiye Finans (éves)'!B37</f>
        <v>148598</v>
      </c>
      <c r="M37" s="10">
        <f>'Turkiye Finans (éves)'!C37</f>
        <v>142469</v>
      </c>
      <c r="N37" s="10">
        <f>'Turkiye Finans (éves)'!D37</f>
        <v>143012</v>
      </c>
      <c r="O37" s="10">
        <f>'Turkiye Finans (éves)'!E37</f>
        <v>135781</v>
      </c>
      <c r="P37" s="10">
        <f>'Turkiye Finans (éves)'!F37</f>
        <v>126793</v>
      </c>
      <c r="Q37" s="10">
        <f>'Turkiye Finans (éves)'!G37</f>
        <v>141723</v>
      </c>
      <c r="R37" s="10">
        <f>'Turkiye Finans (éves)'!H37</f>
        <v>71698</v>
      </c>
      <c r="S37" s="69">
        <f>'Turkiye Finans (éves)'!I37</f>
        <v>257632</v>
      </c>
    </row>
    <row r="38" spans="1:19">
      <c r="A38" s="72" t="s">
        <v>190</v>
      </c>
      <c r="B38" s="76" t="str">
        <f>'Ziraat Katilim (éves)'!B6</f>
        <v>-</v>
      </c>
      <c r="C38" s="76">
        <f>'Ziraat Katilim (éves)'!C6</f>
        <v>127022</v>
      </c>
      <c r="D38" s="76">
        <f>'Ziraat Katilim (éves)'!D6</f>
        <v>414683</v>
      </c>
      <c r="E38" s="76">
        <f>'Ziraat Katilim (éves)'!E6</f>
        <v>524173</v>
      </c>
      <c r="F38" s="76">
        <f>'Ziraat Katilim (éves)'!F6</f>
        <v>2386937</v>
      </c>
      <c r="G38" s="76">
        <f>'Ziraat Katilim (éves)'!G6</f>
        <v>1304375</v>
      </c>
      <c r="H38" s="76">
        <f>'Ziraat Katilim (éves)'!H6</f>
        <v>5145732</v>
      </c>
      <c r="I38" s="174">
        <f>'Ziraat Katilim (éves)'!I6</f>
        <v>8589570</v>
      </c>
      <c r="J38" s="248"/>
      <c r="K38" s="72" t="s">
        <v>190</v>
      </c>
      <c r="L38" s="76" t="str">
        <f>'Ziraat Katilim (éves)'!B37</f>
        <v>-</v>
      </c>
      <c r="M38" s="76">
        <f>'Ziraat Katilim (éves)'!C37</f>
        <v>74</v>
      </c>
      <c r="N38" s="76">
        <f>'Ziraat Katilim (éves)'!D37</f>
        <v>14205</v>
      </c>
      <c r="O38" s="76">
        <f>'Ziraat Katilim (éves)'!E37</f>
        <v>30343</v>
      </c>
      <c r="P38" s="76">
        <f>'Ziraat Katilim (éves)'!F37</f>
        <v>77679</v>
      </c>
      <c r="Q38" s="76">
        <f>'Ziraat Katilim (éves)'!G37</f>
        <v>94452</v>
      </c>
      <c r="R38" s="76">
        <f>'Ziraat Katilim (éves)'!H37</f>
        <v>92541</v>
      </c>
      <c r="S38" s="174">
        <f>'Ziraat Katilim (éves)'!I37</f>
        <v>147334</v>
      </c>
    </row>
    <row r="39" spans="1:19">
      <c r="A39" s="72" t="s">
        <v>191</v>
      </c>
      <c r="B39" s="76" t="str">
        <f>'Vakif Katilim (éves)'!B6</f>
        <v>-</v>
      </c>
      <c r="C39" s="76">
        <f>'Vakif Katilim (éves)'!C6</f>
        <v>10020</v>
      </c>
      <c r="D39" s="76">
        <f>'Vakif Katilim (éves)'!D6</f>
        <v>464411</v>
      </c>
      <c r="E39" s="76">
        <f>'Vakif Katilim (éves)'!E6</f>
        <v>695600</v>
      </c>
      <c r="F39" s="76">
        <f>'Vakif Katilim (éves)'!F6</f>
        <v>1442087</v>
      </c>
      <c r="G39" s="76">
        <f>'Vakif Katilim (éves)'!G6</f>
        <v>4185139</v>
      </c>
      <c r="H39" s="76">
        <f>'Vakif Katilim (éves)'!H6</f>
        <v>9998207</v>
      </c>
      <c r="I39" s="174">
        <f>'Vakif Katilim (éves)'!I6</f>
        <v>17215449</v>
      </c>
      <c r="J39" s="248"/>
      <c r="K39" s="72" t="s">
        <v>191</v>
      </c>
      <c r="L39" s="76" t="str">
        <f>'Vakif Katilim (éves)'!B37</f>
        <v>-</v>
      </c>
      <c r="M39" s="76" t="str">
        <f>'Vakif Katilim (éves)'!C37</f>
        <v>-</v>
      </c>
      <c r="N39" s="76">
        <f>'Vakif Katilim (éves)'!D37</f>
        <v>1244</v>
      </c>
      <c r="O39" s="76">
        <f>'Vakif Katilim (éves)'!E37</f>
        <v>21177</v>
      </c>
      <c r="P39" s="76">
        <f>'Vakif Katilim (éves)'!F37</f>
        <v>83798</v>
      </c>
      <c r="Q39" s="76">
        <f>'Vakif Katilim (éves)'!G37</f>
        <v>47797</v>
      </c>
      <c r="R39" s="76">
        <f>'Vakif Katilim (éves)'!H37</f>
        <v>74409</v>
      </c>
      <c r="S39" s="174">
        <f>'Vakif Katilim (éves)'!I37</f>
        <v>66995</v>
      </c>
    </row>
    <row r="40" spans="1:19">
      <c r="A40" s="72" t="s">
        <v>192</v>
      </c>
      <c r="B40" s="76" t="str">
        <f>'Emlak Katilim (éves)'!B6</f>
        <v>-</v>
      </c>
      <c r="C40" s="76" t="str">
        <f>'Emlak Katilim (éves)'!C6</f>
        <v>-</v>
      </c>
      <c r="D40" s="76" t="str">
        <f>'Emlak Katilim (éves)'!D6</f>
        <v>-</v>
      </c>
      <c r="E40" s="76" t="str">
        <f>'Emlak Katilim (éves)'!E6</f>
        <v>-</v>
      </c>
      <c r="F40" s="76" t="str">
        <f>'Emlak Katilim (éves)'!F6</f>
        <v>-</v>
      </c>
      <c r="G40" s="76">
        <f>'Emlak Katilim (éves)'!G6</f>
        <v>7659</v>
      </c>
      <c r="H40" s="76">
        <f>'Emlak Katilim (éves)'!H6</f>
        <v>1164390</v>
      </c>
      <c r="I40" s="174">
        <f>'Emlak Katilim (éves)'!I6</f>
        <v>4173153</v>
      </c>
      <c r="J40" s="248"/>
      <c r="K40" s="72" t="s">
        <v>192</v>
      </c>
      <c r="L40" s="76" t="str">
        <f>'Emlak Katilim (éves)'!B36</f>
        <v>-</v>
      </c>
      <c r="M40" s="76" t="str">
        <f>'Emlak Katilim (éves)'!C36</f>
        <v>-</v>
      </c>
      <c r="N40" s="76" t="str">
        <f>'Emlak Katilim (éves)'!D36</f>
        <v>-</v>
      </c>
      <c r="O40" s="76" t="str">
        <f>'Emlak Katilim (éves)'!E36</f>
        <v>-</v>
      </c>
      <c r="P40" s="76">
        <f>'Emlak Katilim (éves)'!F36</f>
        <v>211955</v>
      </c>
      <c r="Q40" s="76">
        <f>'Emlak Katilim (éves)'!G36</f>
        <v>217652</v>
      </c>
      <c r="R40" s="76">
        <f>'Emlak Katilim (éves)'!H36</f>
        <v>628007</v>
      </c>
      <c r="S40" s="174">
        <f>'Emlak Katilim (éves)'!I36</f>
        <v>1796817</v>
      </c>
    </row>
    <row r="41" spans="1:19" ht="28.8" thickBot="1">
      <c r="A41" s="242" t="s">
        <v>169</v>
      </c>
      <c r="B41" s="244">
        <v>225967985</v>
      </c>
      <c r="C41" s="244">
        <v>242931714</v>
      </c>
      <c r="D41" s="244">
        <v>244025717</v>
      </c>
      <c r="E41" s="244">
        <v>269088629</v>
      </c>
      <c r="F41" s="244">
        <v>256890702</v>
      </c>
      <c r="G41" s="244">
        <v>364906546</v>
      </c>
      <c r="H41" s="244">
        <v>570150965</v>
      </c>
      <c r="I41" s="245">
        <v>832586996</v>
      </c>
      <c r="J41" s="248"/>
      <c r="K41" s="242" t="s">
        <v>169</v>
      </c>
      <c r="L41" s="244">
        <v>17276929</v>
      </c>
      <c r="M41" s="244">
        <v>18950167</v>
      </c>
      <c r="N41" s="244">
        <v>20599142</v>
      </c>
      <c r="O41" s="244">
        <v>25150065</v>
      </c>
      <c r="P41" s="244">
        <v>31927331</v>
      </c>
      <c r="Q41" s="244">
        <v>42798028.80263</v>
      </c>
      <c r="R41" s="244">
        <v>38952067</v>
      </c>
      <c r="S41" s="245">
        <v>55498544</v>
      </c>
    </row>
    <row r="42" spans="1:19" ht="15" thickBot="1">
      <c r="J42" s="248"/>
    </row>
    <row r="43" spans="1:19" ht="15" thickBot="1">
      <c r="A43" s="339" t="s">
        <v>173</v>
      </c>
      <c r="B43" s="340"/>
      <c r="C43" s="340"/>
      <c r="D43" s="340"/>
      <c r="E43" s="340"/>
      <c r="F43" s="340"/>
      <c r="G43" s="340"/>
      <c r="H43" s="341" t="s">
        <v>127</v>
      </c>
      <c r="I43" s="342"/>
      <c r="J43" s="248"/>
      <c r="K43" s="339" t="s">
        <v>118</v>
      </c>
      <c r="L43" s="340"/>
      <c r="M43" s="340"/>
      <c r="N43" s="340"/>
      <c r="O43" s="340"/>
      <c r="P43" s="340"/>
      <c r="Q43" s="340"/>
      <c r="R43" s="341" t="s">
        <v>127</v>
      </c>
      <c r="S43" s="342"/>
    </row>
    <row r="44" spans="1:19">
      <c r="A44" s="188"/>
      <c r="B44" s="182">
        <v>2014</v>
      </c>
      <c r="C44" s="182">
        <v>2015</v>
      </c>
      <c r="D44" s="182">
        <v>2016</v>
      </c>
      <c r="E44" s="182">
        <v>2017</v>
      </c>
      <c r="F44" s="182">
        <v>2018</v>
      </c>
      <c r="G44" s="182">
        <v>2019</v>
      </c>
      <c r="H44" s="182">
        <v>2020</v>
      </c>
      <c r="I44" s="189">
        <v>2021</v>
      </c>
      <c r="J44" s="248"/>
      <c r="K44" s="188"/>
      <c r="L44" s="182">
        <v>2014</v>
      </c>
      <c r="M44" s="182">
        <v>2015</v>
      </c>
      <c r="N44" s="182">
        <v>2016</v>
      </c>
      <c r="O44" s="182">
        <v>2017</v>
      </c>
      <c r="P44" s="182">
        <v>2018</v>
      </c>
      <c r="Q44" s="182">
        <v>2019</v>
      </c>
      <c r="R44" s="182">
        <v>2020</v>
      </c>
      <c r="S44" s="189">
        <v>2021</v>
      </c>
    </row>
    <row r="45" spans="1:19">
      <c r="A45" s="72" t="s">
        <v>187</v>
      </c>
      <c r="B45" s="10">
        <f>'Albaraka Turk (éves)'!B7</f>
        <v>15474046</v>
      </c>
      <c r="C45" s="10">
        <f>'Albaraka Turk (éves)'!C7</f>
        <v>18557965</v>
      </c>
      <c r="D45" s="10">
        <f>'Albaraka Turk (éves)'!D7</f>
        <v>21843075</v>
      </c>
      <c r="E45" s="10">
        <f>'Albaraka Turk (éves)'!E7</f>
        <v>24456382</v>
      </c>
      <c r="F45" s="10">
        <f>'Albaraka Turk (éves)'!F7</f>
        <v>27062226</v>
      </c>
      <c r="G45" s="10">
        <f>'Albaraka Turk (éves)'!G7</f>
        <v>30637243</v>
      </c>
      <c r="H45" s="10">
        <f>'Albaraka Turk (éves)'!H7</f>
        <v>42055806</v>
      </c>
      <c r="I45" s="69">
        <f>'Albaraka Turk (éves)'!I7</f>
        <v>59304778</v>
      </c>
      <c r="J45" s="248"/>
      <c r="K45" s="72" t="s">
        <v>187</v>
      </c>
      <c r="L45" s="10">
        <f>'Albaraka Turk (éves)'!B39</f>
        <v>53257</v>
      </c>
      <c r="M45" s="10">
        <f>'Albaraka Turk (éves)'!C39</f>
        <v>52570</v>
      </c>
      <c r="N45" s="10">
        <f>'Albaraka Turk (éves)'!D39</f>
        <v>45139</v>
      </c>
      <c r="O45" s="10">
        <f>'Albaraka Turk (éves)'!E39</f>
        <v>45363</v>
      </c>
      <c r="P45" s="10">
        <f>'Albaraka Turk (éves)'!F39</f>
        <v>358815</v>
      </c>
      <c r="Q45" s="10">
        <f>'Albaraka Turk (éves)'!G39</f>
        <v>323709</v>
      </c>
      <c r="R45" s="10">
        <f>'Albaraka Turk (éves)'!H39</f>
        <v>266884</v>
      </c>
      <c r="S45" s="69">
        <f>'Albaraka Turk (éves)'!I39</f>
        <v>136227</v>
      </c>
    </row>
    <row r="46" spans="1:19">
      <c r="A46" s="72" t="s">
        <v>188</v>
      </c>
      <c r="B46" s="10">
        <f>'Kuveyt Turk (éves)'!B7</f>
        <v>20575082</v>
      </c>
      <c r="C46" s="10">
        <f>'Kuveyt Turk (éves)'!C7</f>
        <v>25851000</v>
      </c>
      <c r="D46" s="10">
        <f>'Kuveyt Turk (éves)'!D7</f>
        <v>28250102</v>
      </c>
      <c r="E46" s="10">
        <f>'Kuveyt Turk (éves)'!E7</f>
        <v>35994116</v>
      </c>
      <c r="F46" s="10">
        <f>'Kuveyt Turk (éves)'!F7</f>
        <v>45348335</v>
      </c>
      <c r="G46" s="10">
        <f>'Kuveyt Turk (éves)'!G7</f>
        <v>55218449</v>
      </c>
      <c r="H46" s="10">
        <f>'Kuveyt Turk (éves)'!H7</f>
        <v>74043052</v>
      </c>
      <c r="I46" s="69">
        <f>'Kuveyt Turk (éves)'!I7</f>
        <v>111440591</v>
      </c>
      <c r="J46" s="248"/>
      <c r="K46" s="72" t="s">
        <v>188</v>
      </c>
      <c r="L46" s="10">
        <f>'Kuveyt Turk (éves)'!B39</f>
        <v>147655</v>
      </c>
      <c r="M46" s="10">
        <f>'Kuveyt Turk (éves)'!C39</f>
        <v>178108</v>
      </c>
      <c r="N46" s="10">
        <f>'Kuveyt Turk (éves)'!D39</f>
        <v>275772</v>
      </c>
      <c r="O46" s="10">
        <f>'Kuveyt Turk (éves)'!E39</f>
        <v>246884</v>
      </c>
      <c r="P46" s="10">
        <f>'Kuveyt Turk (éves)'!F39</f>
        <v>453415</v>
      </c>
      <c r="Q46" s="10">
        <f>'Kuveyt Turk (éves)'!G39</f>
        <v>1274256</v>
      </c>
      <c r="R46" s="10">
        <f>'Kuveyt Turk (éves)'!H39</f>
        <v>571361</v>
      </c>
      <c r="S46" s="69">
        <f>'Kuveyt Turk (éves)'!I39</f>
        <v>2160959</v>
      </c>
    </row>
    <row r="47" spans="1:19">
      <c r="A47" s="72" t="s">
        <v>189</v>
      </c>
      <c r="B47" s="10">
        <f>'Turkiye Finans (éves)'!B7</f>
        <v>23056422</v>
      </c>
      <c r="C47" s="10">
        <f>'Turkiye Finans (éves)'!C7</f>
        <v>27014513</v>
      </c>
      <c r="D47" s="10">
        <f>'Turkiye Finans (éves)'!D7</f>
        <v>25599230</v>
      </c>
      <c r="E47" s="10">
        <f>'Turkiye Finans (éves)'!E7</f>
        <v>25337819</v>
      </c>
      <c r="F47" s="10">
        <f>'Turkiye Finans (éves)'!F7</f>
        <v>30481546</v>
      </c>
      <c r="G47" s="10">
        <f>'Turkiye Finans (éves)'!G7</f>
        <v>32582167</v>
      </c>
      <c r="H47" s="10">
        <f>'Turkiye Finans (éves)'!H7</f>
        <v>47032268</v>
      </c>
      <c r="I47" s="69">
        <f>'Turkiye Finans (éves)'!I7</f>
        <v>60187817</v>
      </c>
      <c r="J47" s="248"/>
      <c r="K47" s="72" t="s">
        <v>189</v>
      </c>
      <c r="L47" s="10">
        <f>'Turkiye Finans (éves)'!B39</f>
        <v>25657</v>
      </c>
      <c r="M47" s="10">
        <f>'Turkiye Finans (éves)'!C39</f>
        <v>21341</v>
      </c>
      <c r="N47" s="10">
        <f>'Turkiye Finans (éves)'!D39</f>
        <v>99170</v>
      </c>
      <c r="O47" s="10">
        <f>'Turkiye Finans (éves)'!E39</f>
        <v>22124</v>
      </c>
      <c r="P47" s="10">
        <f>'Turkiye Finans (éves)'!F39</f>
        <v>83909</v>
      </c>
      <c r="Q47" s="10">
        <f>'Turkiye Finans (éves)'!G39</f>
        <v>191088</v>
      </c>
      <c r="R47" s="10">
        <f>'Turkiye Finans (éves)'!H39</f>
        <v>462347</v>
      </c>
      <c r="S47" s="69">
        <f>'Turkiye Finans (éves)'!I39</f>
        <v>623805</v>
      </c>
    </row>
    <row r="48" spans="1:19">
      <c r="A48" s="72" t="s">
        <v>190</v>
      </c>
      <c r="B48" s="76" t="str">
        <f>'Ziraat Katilim (éves)'!B7</f>
        <v>-</v>
      </c>
      <c r="C48" s="76">
        <f>'Ziraat Katilim (éves)'!C7</f>
        <v>1690106</v>
      </c>
      <c r="D48" s="76">
        <f>'Ziraat Katilim (éves)'!D7</f>
        <v>5557942</v>
      </c>
      <c r="E48" s="76">
        <f>'Ziraat Katilim (éves)'!E7</f>
        <v>11374744</v>
      </c>
      <c r="F48" s="76">
        <f>'Ziraat Katilim (éves)'!F7</f>
        <v>17243990</v>
      </c>
      <c r="G48" s="76">
        <f>'Ziraat Katilim (éves)'!G7</f>
        <v>25908664</v>
      </c>
      <c r="H48" s="76">
        <f>'Ziraat Katilim (éves)'!H7</f>
        <v>38223417</v>
      </c>
      <c r="I48" s="174">
        <f>'Ziraat Katilim (éves)'!I7</f>
        <v>58588552</v>
      </c>
      <c r="J48" s="248"/>
      <c r="K48" s="72" t="s">
        <v>190</v>
      </c>
      <c r="L48" s="76" t="str">
        <f>'Ziraat Katilim (éves)'!B39</f>
        <v>-</v>
      </c>
      <c r="M48" s="76">
        <f>'Ziraat Katilim (éves)'!C39</f>
        <v>2998</v>
      </c>
      <c r="N48" s="76">
        <f>'Ziraat Katilim (éves)'!D39</f>
        <v>7030</v>
      </c>
      <c r="O48" s="76">
        <f>'Ziraat Katilim (éves)'!E39</f>
        <v>11556</v>
      </c>
      <c r="P48" s="76">
        <f>'Ziraat Katilim (éves)'!F39</f>
        <v>53498</v>
      </c>
      <c r="Q48" s="76">
        <f>'Ziraat Katilim (éves)'!G39</f>
        <v>69478</v>
      </c>
      <c r="R48" s="76">
        <f>'Ziraat Katilim (éves)'!H39</f>
        <v>83310</v>
      </c>
      <c r="S48" s="174">
        <f>'Ziraat Katilim (éves)'!I39</f>
        <v>214813</v>
      </c>
    </row>
    <row r="49" spans="1:19">
      <c r="A49" s="72" t="s">
        <v>191</v>
      </c>
      <c r="B49" s="76" t="str">
        <f>'Vakif Katilim (éves)'!B7</f>
        <v>-</v>
      </c>
      <c r="C49" s="76" t="str">
        <f>'Vakif Katilim (éves)'!C7</f>
        <v>-</v>
      </c>
      <c r="D49" s="76">
        <f>'Vakif Katilim (éves)'!D7</f>
        <v>2946447</v>
      </c>
      <c r="E49" s="76">
        <f>'Vakif Katilim (éves)'!E7</f>
        <v>9585506</v>
      </c>
      <c r="F49" s="76">
        <f>'Vakif Katilim (éves)'!F7</f>
        <v>13567228</v>
      </c>
      <c r="G49" s="76">
        <f>'Vakif Katilim (éves)'!G7</f>
        <v>18588745</v>
      </c>
      <c r="H49" s="76">
        <f>'Vakif Katilim (éves)'!H7</f>
        <v>29107607</v>
      </c>
      <c r="I49" s="174">
        <f>'Vakif Katilim (éves)'!I7</f>
        <v>56087057</v>
      </c>
      <c r="J49" s="248"/>
      <c r="K49" s="72" t="s">
        <v>191</v>
      </c>
      <c r="L49" s="76" t="str">
        <f>'Vakif Katilim (éves)'!B39</f>
        <v>-</v>
      </c>
      <c r="M49" s="76">
        <f>'Vakif Katilim (éves)'!C39</f>
        <v>60497</v>
      </c>
      <c r="N49" s="76">
        <f>'Vakif Katilim (éves)'!D39</f>
        <v>34983</v>
      </c>
      <c r="O49" s="76">
        <f>'Vakif Katilim (éves)'!E39</f>
        <v>163047</v>
      </c>
      <c r="P49" s="76">
        <f>'Vakif Katilim (éves)'!F39</f>
        <v>273036</v>
      </c>
      <c r="Q49" s="76">
        <f>'Vakif Katilim (éves)'!G39</f>
        <v>512000</v>
      </c>
      <c r="R49" s="76">
        <f>'Vakif Katilim (éves)'!H39</f>
        <v>314013</v>
      </c>
      <c r="S49" s="174">
        <f>'Vakif Katilim (éves)'!I39</f>
        <v>937085</v>
      </c>
    </row>
    <row r="50" spans="1:19">
      <c r="A50" s="72" t="s">
        <v>192</v>
      </c>
      <c r="B50" s="76" t="str">
        <f>'Emlak Katilim (éves)'!B7</f>
        <v>-</v>
      </c>
      <c r="C50" s="76" t="str">
        <f>'Emlak Katilim (éves)'!C7</f>
        <v>-</v>
      </c>
      <c r="D50" s="76" t="str">
        <f>'Emlak Katilim (éves)'!D7</f>
        <v>-</v>
      </c>
      <c r="E50" s="76" t="str">
        <f>'Emlak Katilim (éves)'!E7</f>
        <v>-</v>
      </c>
      <c r="F50" s="76" t="str">
        <f>'Emlak Katilim (éves)'!F7</f>
        <v>-</v>
      </c>
      <c r="G50" s="76">
        <f>'Emlak Katilim (éves)'!G7</f>
        <v>5730333</v>
      </c>
      <c r="H50" s="76">
        <f>'Emlak Katilim (éves)'!H7</f>
        <v>13570624</v>
      </c>
      <c r="I50" s="174">
        <f>'Emlak Katilim (éves)'!I7</f>
        <v>21724480</v>
      </c>
      <c r="J50" s="248"/>
      <c r="K50" s="72" t="s">
        <v>192</v>
      </c>
      <c r="L50" s="76" t="str">
        <f>'Emlak Katilim (éves)'!B39</f>
        <v>-</v>
      </c>
      <c r="M50" s="76" t="str">
        <f>'Emlak Katilim (éves)'!C39</f>
        <v>-</v>
      </c>
      <c r="N50" s="76" t="str">
        <f>'Emlak Katilim (éves)'!D39</f>
        <v>-</v>
      </c>
      <c r="O50" s="76" t="str">
        <f>'Emlak Katilim (éves)'!E39</f>
        <v>-</v>
      </c>
      <c r="P50" s="76">
        <f>'Emlak Katilim (éves)'!F39</f>
        <v>261084</v>
      </c>
      <c r="Q50" s="76">
        <f>'Emlak Katilim (éves)'!G39</f>
        <v>32514</v>
      </c>
      <c r="R50" s="76">
        <f>'Emlak Katilim (éves)'!H39</f>
        <v>22261</v>
      </c>
      <c r="S50" s="174">
        <f>'Emlak Katilim (éves)'!I39</f>
        <v>56502</v>
      </c>
    </row>
    <row r="51" spans="1:19" ht="28.8" thickBot="1">
      <c r="A51" s="242" t="s">
        <v>169</v>
      </c>
      <c r="B51" s="244">
        <v>1209686009</v>
      </c>
      <c r="C51" s="244">
        <v>1458516465.5601699</v>
      </c>
      <c r="D51" s="244">
        <v>1716622954</v>
      </c>
      <c r="E51" s="244">
        <v>2071375707</v>
      </c>
      <c r="F51" s="244">
        <v>2366972400</v>
      </c>
      <c r="G51" s="244">
        <v>2752464808</v>
      </c>
      <c r="H51" s="244">
        <v>3608752002</v>
      </c>
      <c r="I51" s="245">
        <v>4882783411</v>
      </c>
      <c r="J51" s="248"/>
      <c r="K51" s="242" t="s">
        <v>169</v>
      </c>
      <c r="L51" s="244">
        <v>2759663</v>
      </c>
      <c r="M51" s="244">
        <v>6263481</v>
      </c>
      <c r="N51" s="244">
        <v>1953942</v>
      </c>
      <c r="O51" s="244">
        <v>10831407</v>
      </c>
      <c r="P51" s="244">
        <v>12241756</v>
      </c>
      <c r="Q51" s="244">
        <v>25908624.058979701</v>
      </c>
      <c r="R51" s="244">
        <v>20402483</v>
      </c>
      <c r="S51" s="245">
        <v>24104901</v>
      </c>
    </row>
    <row r="52" spans="1:19" ht="15" thickBot="1">
      <c r="J52" s="248"/>
    </row>
    <row r="53" spans="1:19" ht="15" thickBot="1">
      <c r="A53" s="339" t="s">
        <v>176</v>
      </c>
      <c r="B53" s="340"/>
      <c r="C53" s="340"/>
      <c r="D53" s="340"/>
      <c r="E53" s="340"/>
      <c r="F53" s="340"/>
      <c r="G53" s="340"/>
      <c r="H53" s="341" t="s">
        <v>127</v>
      </c>
      <c r="I53" s="342"/>
      <c r="J53" s="248"/>
      <c r="K53" s="339" t="s">
        <v>119</v>
      </c>
      <c r="L53" s="340"/>
      <c r="M53" s="340"/>
      <c r="N53" s="340"/>
      <c r="O53" s="340"/>
      <c r="P53" s="340"/>
      <c r="Q53" s="340"/>
      <c r="R53" s="341" t="s">
        <v>127</v>
      </c>
      <c r="S53" s="342"/>
    </row>
    <row r="54" spans="1:19">
      <c r="A54" s="188"/>
      <c r="B54" s="182">
        <v>2014</v>
      </c>
      <c r="C54" s="182">
        <v>2015</v>
      </c>
      <c r="D54" s="182">
        <v>2016</v>
      </c>
      <c r="E54" s="182">
        <v>2017</v>
      </c>
      <c r="F54" s="182">
        <v>2018</v>
      </c>
      <c r="G54" s="182">
        <v>2019</v>
      </c>
      <c r="H54" s="182">
        <v>2020</v>
      </c>
      <c r="I54" s="189">
        <v>2021</v>
      </c>
      <c r="J54" s="248"/>
      <c r="K54" s="188"/>
      <c r="L54" s="182">
        <v>2014</v>
      </c>
      <c r="M54" s="182">
        <v>2015</v>
      </c>
      <c r="N54" s="182">
        <v>2016</v>
      </c>
      <c r="O54" s="182">
        <v>2017</v>
      </c>
      <c r="P54" s="182">
        <v>2018</v>
      </c>
      <c r="Q54" s="182">
        <v>2019</v>
      </c>
      <c r="R54" s="182">
        <v>2020</v>
      </c>
      <c r="S54" s="189">
        <v>2021</v>
      </c>
    </row>
    <row r="55" spans="1:19">
      <c r="A55" s="72" t="s">
        <v>187</v>
      </c>
      <c r="B55" s="10">
        <f>'Albaraka Turk (éves)'!B8</f>
        <v>326975</v>
      </c>
      <c r="C55" s="10">
        <f>'Albaraka Turk (éves)'!C8</f>
        <v>468413</v>
      </c>
      <c r="D55" s="10">
        <f>'Albaraka Turk (éves)'!D8</f>
        <v>1105954</v>
      </c>
      <c r="E55" s="10">
        <f>'Albaraka Turk (éves)'!E8</f>
        <v>1212610</v>
      </c>
      <c r="F55" s="10">
        <f>'Albaraka Turk (éves)'!F8</f>
        <v>1888547</v>
      </c>
      <c r="G55" s="10">
        <f>'Albaraka Turk (éves)'!G8</f>
        <v>2221723</v>
      </c>
      <c r="H55" s="10">
        <f>'Albaraka Turk (éves)'!H8</f>
        <v>2045276</v>
      </c>
      <c r="I55" s="69">
        <f>'Albaraka Turk (éves)'!I8</f>
        <v>3783237</v>
      </c>
      <c r="J55" s="248"/>
      <c r="K55" s="72" t="s">
        <v>187</v>
      </c>
      <c r="L55" s="10">
        <f>'Albaraka Turk (éves)'!B40</f>
        <v>96819</v>
      </c>
      <c r="M55" s="10">
        <f>'Albaraka Turk (éves)'!C40</f>
        <v>113407</v>
      </c>
      <c r="N55" s="10">
        <f>'Albaraka Turk (éves)'!D40</f>
        <v>157511</v>
      </c>
      <c r="O55" s="10">
        <f>'Albaraka Turk (éves)'!E40</f>
        <v>122146</v>
      </c>
      <c r="P55" s="10">
        <f>'Albaraka Turk (éves)'!F40</f>
        <v>360618</v>
      </c>
      <c r="Q55" s="10">
        <f>'Albaraka Turk (éves)'!G40</f>
        <v>543084</v>
      </c>
      <c r="R55" s="10">
        <f>'Albaraka Turk (éves)'!H40</f>
        <v>562059</v>
      </c>
      <c r="S55" s="69">
        <f>'Albaraka Turk (éves)'!I40</f>
        <v>1142931</v>
      </c>
    </row>
    <row r="56" spans="1:19">
      <c r="A56" s="72" t="s">
        <v>188</v>
      </c>
      <c r="B56" s="10">
        <f>'Kuveyt Turk (éves)'!B8</f>
        <v>481195</v>
      </c>
      <c r="C56" s="10">
        <f>'Kuveyt Turk (éves)'!C8</f>
        <v>442519</v>
      </c>
      <c r="D56" s="10">
        <f>'Kuveyt Turk (éves)'!D8</f>
        <v>748062</v>
      </c>
      <c r="E56" s="10">
        <f>'Kuveyt Turk (éves)'!E8</f>
        <v>717130</v>
      </c>
      <c r="F56" s="10">
        <f>'Kuveyt Turk (éves)'!F8</f>
        <v>1179767</v>
      </c>
      <c r="G56" s="10">
        <f>'Kuveyt Turk (éves)'!G8</f>
        <v>2043674</v>
      </c>
      <c r="H56" s="10">
        <f>'Kuveyt Turk (éves)'!H8</f>
        <v>2934591</v>
      </c>
      <c r="I56" s="69">
        <f>'Kuveyt Turk (éves)'!I8</f>
        <v>3075409</v>
      </c>
      <c r="J56" s="248"/>
      <c r="K56" s="72" t="s">
        <v>188</v>
      </c>
      <c r="L56" s="10">
        <f>'Kuveyt Turk (éves)'!B40</f>
        <v>146916</v>
      </c>
      <c r="M56" s="10">
        <f>'Kuveyt Turk (éves)'!C40</f>
        <v>190095</v>
      </c>
      <c r="N56" s="10">
        <f>'Kuveyt Turk (éves)'!D40</f>
        <v>192872</v>
      </c>
      <c r="O56" s="10">
        <f>'Kuveyt Turk (éves)'!E40</f>
        <v>230217</v>
      </c>
      <c r="P56" s="10">
        <f>'Kuveyt Turk (éves)'!F40</f>
        <v>656516</v>
      </c>
      <c r="Q56" s="10">
        <f>'Kuveyt Turk (éves)'!G40</f>
        <v>783319</v>
      </c>
      <c r="R56" s="10">
        <f>'Kuveyt Turk (éves)'!H40</f>
        <v>648066</v>
      </c>
      <c r="S56" s="69">
        <f>'Kuveyt Turk (éves)'!I40</f>
        <v>925269</v>
      </c>
    </row>
    <row r="57" spans="1:19">
      <c r="A57" s="72" t="s">
        <v>189</v>
      </c>
      <c r="B57" s="10">
        <f>'Turkiye Finans (éves)'!B8</f>
        <v>597317</v>
      </c>
      <c r="C57" s="10">
        <f>'Turkiye Finans (éves)'!C8</f>
        <v>1250842</v>
      </c>
      <c r="D57" s="10">
        <f>'Turkiye Finans (éves)'!D8</f>
        <v>1394324</v>
      </c>
      <c r="E57" s="10">
        <f>'Turkiye Finans (éves)'!E8</f>
        <v>1414992</v>
      </c>
      <c r="F57" s="10">
        <f>'Turkiye Finans (éves)'!F8</f>
        <v>1732682</v>
      </c>
      <c r="G57" s="10">
        <f>'Turkiye Finans (éves)'!G8</f>
        <v>2666352</v>
      </c>
      <c r="H57" s="10">
        <f>'Turkiye Finans (éves)'!H8</f>
        <v>2652383</v>
      </c>
      <c r="I57" s="69">
        <f>'Turkiye Finans (éves)'!I8</f>
        <v>2818159</v>
      </c>
      <c r="J57" s="248"/>
      <c r="K57" s="72" t="s">
        <v>189</v>
      </c>
      <c r="L57" s="10">
        <f>'Turkiye Finans (éves)'!B40</f>
        <v>171201</v>
      </c>
      <c r="M57" s="10">
        <f>'Turkiye Finans (éves)'!C40</f>
        <v>123767</v>
      </c>
      <c r="N57" s="10">
        <f>'Turkiye Finans (éves)'!D40</f>
        <v>313913</v>
      </c>
      <c r="O57" s="10">
        <f>'Turkiye Finans (éves)'!E40</f>
        <v>304714</v>
      </c>
      <c r="P57" s="10">
        <f>'Turkiye Finans (éves)'!F40</f>
        <v>621806</v>
      </c>
      <c r="Q57" s="10">
        <f>'Turkiye Finans (éves)'!G40</f>
        <v>645796</v>
      </c>
      <c r="R57" s="10">
        <f>'Turkiye Finans (éves)'!H40</f>
        <v>575269</v>
      </c>
      <c r="S57" s="69">
        <f>'Turkiye Finans (éves)'!I40</f>
        <v>856210</v>
      </c>
    </row>
    <row r="58" spans="1:19">
      <c r="A58" s="72" t="s">
        <v>190</v>
      </c>
      <c r="B58" s="76" t="str">
        <f>'Ziraat Katilim (éves)'!B8</f>
        <v>-</v>
      </c>
      <c r="C58" s="76">
        <f>'Ziraat Katilim (éves)'!C8</f>
        <v>2</v>
      </c>
      <c r="D58" s="76">
        <f>'Ziraat Katilim (éves)'!D8</f>
        <v>10483</v>
      </c>
      <c r="E58" s="76">
        <f>'Ziraat Katilim (éves)'!E8</f>
        <v>34841</v>
      </c>
      <c r="F58" s="76">
        <f>'Ziraat Katilim (éves)'!F8</f>
        <v>240160</v>
      </c>
      <c r="G58" s="76">
        <f>'Ziraat Katilim (éves)'!G8</f>
        <v>675282</v>
      </c>
      <c r="H58" s="76">
        <f>'Ziraat Katilim (éves)'!H8</f>
        <v>1181058</v>
      </c>
      <c r="I58" s="174">
        <f>'Ziraat Katilim (éves)'!I8</f>
        <v>1698976</v>
      </c>
      <c r="J58" s="248"/>
      <c r="K58" s="72" t="s">
        <v>190</v>
      </c>
      <c r="L58" s="76" t="str">
        <f>'Ziraat Katilim (éves)'!B40</f>
        <v>-</v>
      </c>
      <c r="M58" s="76">
        <f>'Ziraat Katilim (éves)'!C40</f>
        <v>37</v>
      </c>
      <c r="N58" s="76">
        <f>'Ziraat Katilim (éves)'!D40</f>
        <v>1739</v>
      </c>
      <c r="O58" s="76">
        <f>'Ziraat Katilim (éves)'!E40</f>
        <v>2663</v>
      </c>
      <c r="P58" s="76">
        <f>'Ziraat Katilim (éves)'!F40</f>
        <v>119821</v>
      </c>
      <c r="Q58" s="76">
        <f>'Ziraat Katilim (éves)'!G40</f>
        <v>159008</v>
      </c>
      <c r="R58" s="76">
        <f>'Ziraat Katilim (éves)'!H40</f>
        <v>268144</v>
      </c>
      <c r="S58" s="174">
        <f>'Ziraat Katilim (éves)'!I40</f>
        <v>551638</v>
      </c>
    </row>
    <row r="59" spans="1:19">
      <c r="A59" s="72" t="s">
        <v>191</v>
      </c>
      <c r="B59" s="76" t="str">
        <f>'Vakif Katilim (éves)'!B8</f>
        <v>-</v>
      </c>
      <c r="C59" s="76" t="str">
        <f>'Vakif Katilim (éves)'!C8</f>
        <v>-</v>
      </c>
      <c r="D59" s="76">
        <f>'Vakif Katilim (éves)'!D8</f>
        <v>3647</v>
      </c>
      <c r="E59" s="76">
        <f>'Vakif Katilim (éves)'!E8</f>
        <v>15438</v>
      </c>
      <c r="F59" s="76">
        <f>'Vakif Katilim (éves)'!F8</f>
        <v>245988</v>
      </c>
      <c r="G59" s="76">
        <f>'Vakif Katilim (éves)'!G8</f>
        <v>571074</v>
      </c>
      <c r="H59" s="76">
        <f>'Vakif Katilim (éves)'!H8</f>
        <v>714652</v>
      </c>
      <c r="I59" s="174">
        <f>'Vakif Katilim (éves)'!I8</f>
        <v>928006</v>
      </c>
      <c r="J59" s="248"/>
      <c r="K59" s="72" t="s">
        <v>191</v>
      </c>
      <c r="L59" s="76" t="str">
        <f>'Vakif Katilim (éves)'!B40</f>
        <v>-</v>
      </c>
      <c r="M59" s="76" t="str">
        <f>'Vakif Katilim (éves)'!C40</f>
        <v>-</v>
      </c>
      <c r="N59" s="76">
        <f>'Vakif Katilim (éves)'!D40</f>
        <v>954</v>
      </c>
      <c r="O59" s="76">
        <f>'Vakif Katilim (éves)'!E40</f>
        <v>11447</v>
      </c>
      <c r="P59" s="76">
        <f>'Vakif Katilim (éves)'!F40</f>
        <v>37888</v>
      </c>
      <c r="Q59" s="76">
        <f>'Vakif Katilim (éves)'!G40</f>
        <v>116609</v>
      </c>
      <c r="R59" s="76">
        <f>'Vakif Katilim (éves)'!H40</f>
        <v>207672</v>
      </c>
      <c r="S59" s="174">
        <f>'Vakif Katilim (éves)'!I40</f>
        <v>413505</v>
      </c>
    </row>
    <row r="60" spans="1:19">
      <c r="A60" s="72" t="s">
        <v>192</v>
      </c>
      <c r="B60" s="76" t="str">
        <f>'Emlak Katilim (éves)'!B8</f>
        <v>-</v>
      </c>
      <c r="C60" s="76" t="str">
        <f>'Emlak Katilim (éves)'!C8</f>
        <v>-</v>
      </c>
      <c r="D60" s="76" t="str">
        <f>'Emlak Katilim (éves)'!D8</f>
        <v>-</v>
      </c>
      <c r="E60" s="76" t="str">
        <f>'Emlak Katilim (éves)'!E8</f>
        <v>-</v>
      </c>
      <c r="F60" s="76">
        <f>'Emlak Katilim (éves)'!F8</f>
        <v>188343</v>
      </c>
      <c r="G60" s="76">
        <f>'Emlak Katilim (éves)'!G8</f>
        <v>188322</v>
      </c>
      <c r="H60" s="76">
        <f>'Emlak Katilim (éves)'!H8</f>
        <v>172697</v>
      </c>
      <c r="I60" s="174">
        <f>'Emlak Katilim (éves)'!I8</f>
        <v>195529</v>
      </c>
      <c r="J60" s="248"/>
      <c r="K60" s="72" t="s">
        <v>192</v>
      </c>
      <c r="L60" s="76" t="str">
        <f>'Emlak Katilim (éves)'!B40</f>
        <v>-</v>
      </c>
      <c r="M60" s="76" t="str">
        <f>'Emlak Katilim (éves)'!C40</f>
        <v>-</v>
      </c>
      <c r="N60" s="76" t="str">
        <f>'Emlak Katilim (éves)'!D40</f>
        <v>-</v>
      </c>
      <c r="O60" s="76" t="str">
        <f>'Emlak Katilim (éves)'!E40</f>
        <v>-</v>
      </c>
      <c r="P60" s="76">
        <f>'Emlak Katilim (éves)'!F40</f>
        <v>29733</v>
      </c>
      <c r="Q60" s="76">
        <f>'Emlak Katilim (éves)'!G40</f>
        <v>24115</v>
      </c>
      <c r="R60" s="76">
        <f>'Emlak Katilim (éves)'!H40</f>
        <v>85390</v>
      </c>
      <c r="S60" s="174">
        <f>'Emlak Katilim (éves)'!I40</f>
        <v>129965</v>
      </c>
    </row>
    <row r="61" spans="1:19" ht="28.8" thickBot="1">
      <c r="A61" s="242" t="s">
        <v>169</v>
      </c>
      <c r="B61" s="244"/>
      <c r="C61" s="244"/>
      <c r="D61" s="244"/>
      <c r="E61" s="244"/>
      <c r="F61" s="244"/>
      <c r="G61" s="244"/>
      <c r="H61" s="244"/>
      <c r="I61" s="245"/>
      <c r="J61" s="248"/>
      <c r="K61" s="242" t="s">
        <v>169</v>
      </c>
      <c r="L61" s="244">
        <v>8209208</v>
      </c>
      <c r="M61" s="244">
        <v>9210099</v>
      </c>
      <c r="N61" s="244">
        <v>10939821</v>
      </c>
      <c r="O61" s="244">
        <v>11573433.603</v>
      </c>
      <c r="P61" s="244">
        <v>13716272</v>
      </c>
      <c r="Q61" s="244">
        <v>20827729.390720002</v>
      </c>
      <c r="R61" s="244">
        <v>26615130</v>
      </c>
      <c r="S61" s="245">
        <v>41979133</v>
      </c>
    </row>
    <row r="62" spans="1:19" ht="24" thickBot="1">
      <c r="A62" s="343" t="s">
        <v>204</v>
      </c>
      <c r="B62" s="343"/>
      <c r="C62" s="343"/>
      <c r="D62" s="343"/>
      <c r="E62" s="343"/>
      <c r="F62" s="343"/>
      <c r="G62" s="343"/>
      <c r="H62" s="343"/>
      <c r="I62" s="343"/>
      <c r="J62" s="248"/>
      <c r="K62" s="343" t="s">
        <v>207</v>
      </c>
      <c r="L62" s="343"/>
      <c r="M62" s="343"/>
      <c r="N62" s="343"/>
      <c r="O62" s="343"/>
      <c r="P62" s="343"/>
      <c r="Q62" s="343"/>
      <c r="R62" s="343"/>
      <c r="S62" s="343"/>
    </row>
    <row r="63" spans="1:19" ht="15" thickBot="1">
      <c r="A63" s="339" t="s">
        <v>168</v>
      </c>
      <c r="B63" s="340"/>
      <c r="C63" s="340"/>
      <c r="D63" s="340"/>
      <c r="E63" s="340"/>
      <c r="F63" s="340"/>
      <c r="G63" s="340"/>
      <c r="H63" s="341" t="s">
        <v>127</v>
      </c>
      <c r="I63" s="342"/>
      <c r="J63" s="248"/>
      <c r="K63" s="339" t="s">
        <v>208</v>
      </c>
      <c r="L63" s="340"/>
      <c r="M63" s="340"/>
      <c r="N63" s="340"/>
      <c r="O63" s="340"/>
      <c r="P63" s="340"/>
      <c r="Q63" s="340"/>
      <c r="R63" s="341" t="s">
        <v>127</v>
      </c>
      <c r="S63" s="342"/>
    </row>
    <row r="64" spans="1:19">
      <c r="A64" s="188"/>
      <c r="B64" s="182">
        <v>2014</v>
      </c>
      <c r="C64" s="182">
        <v>2015</v>
      </c>
      <c r="D64" s="182">
        <v>2016</v>
      </c>
      <c r="E64" s="182">
        <v>2017</v>
      </c>
      <c r="F64" s="182">
        <v>2018</v>
      </c>
      <c r="G64" s="182">
        <v>2019</v>
      </c>
      <c r="H64" s="182">
        <v>2020</v>
      </c>
      <c r="I64" s="189">
        <v>2021</v>
      </c>
      <c r="J64" s="248"/>
      <c r="K64" s="188"/>
      <c r="L64" s="182">
        <v>2014</v>
      </c>
      <c r="M64" s="182">
        <v>2015</v>
      </c>
      <c r="N64" s="182">
        <v>2016</v>
      </c>
      <c r="O64" s="182">
        <v>2017</v>
      </c>
      <c r="P64" s="182">
        <v>2018</v>
      </c>
      <c r="Q64" s="182">
        <v>2019</v>
      </c>
      <c r="R64" s="182">
        <v>2020</v>
      </c>
      <c r="S64" s="189">
        <v>2021</v>
      </c>
    </row>
    <row r="65" spans="1:19">
      <c r="A65" s="72" t="s">
        <v>187</v>
      </c>
      <c r="B65" s="10">
        <f>'Albaraka Turk (éves)'!B11</f>
        <v>16643218</v>
      </c>
      <c r="C65" s="10">
        <f>'Albaraka Turk (éves)'!C11</f>
        <v>20346178</v>
      </c>
      <c r="D65" s="10">
        <f>'Albaraka Turk (éves)'!D11</f>
        <v>23155134</v>
      </c>
      <c r="E65" s="10">
        <f>'Albaraka Turk (éves)'!E11</f>
        <v>25309840</v>
      </c>
      <c r="F65" s="10">
        <f>'Albaraka Turk (éves)'!F11</f>
        <v>28623473</v>
      </c>
      <c r="G65" s="10">
        <f>'Albaraka Turk (éves)'!G11</f>
        <v>39769408</v>
      </c>
      <c r="H65" s="10">
        <f>'Albaraka Turk (éves)'!H11</f>
        <v>51613124</v>
      </c>
      <c r="I65" s="69">
        <f>'Albaraka Turk (éves)'!I11</f>
        <v>91236649</v>
      </c>
      <c r="J65" s="248"/>
      <c r="K65" s="72" t="s">
        <v>187</v>
      </c>
      <c r="L65" s="10">
        <f>149576+502438</f>
        <v>652014</v>
      </c>
      <c r="M65" s="10">
        <f>157143+654253</f>
        <v>811396</v>
      </c>
      <c r="N65" s="10">
        <f>356274+736126</f>
        <v>1092400</v>
      </c>
      <c r="O65" s="10">
        <f>460758+834207</f>
        <v>1294965</v>
      </c>
      <c r="P65" s="10">
        <f>607836+2690+535985+622316</f>
        <v>1768827</v>
      </c>
      <c r="Q65" s="10">
        <f>773996+16411+667274+444878</f>
        <v>1902559</v>
      </c>
      <c r="R65" s="10">
        <f>536484+722190+25966+1159755</f>
        <v>2444395</v>
      </c>
      <c r="S65" s="69">
        <f>1711343+123926+807921+654412</f>
        <v>3297602</v>
      </c>
    </row>
    <row r="66" spans="1:19">
      <c r="A66" s="72" t="s">
        <v>188</v>
      </c>
      <c r="B66" s="10">
        <f>'Kuveyt Turk (éves)'!B11</f>
        <v>22144614</v>
      </c>
      <c r="C66" s="10">
        <f>'Kuveyt Turk (éves)'!C11</f>
        <v>28122666</v>
      </c>
      <c r="D66" s="10">
        <f>'Kuveyt Turk (éves)'!D11</f>
        <v>31901763</v>
      </c>
      <c r="E66" s="10">
        <f>'Kuveyt Turk (éves)'!E11</f>
        <v>39857400</v>
      </c>
      <c r="F66" s="10">
        <f>'Kuveyt Turk (éves)'!F11</f>
        <v>53986278</v>
      </c>
      <c r="G66" s="10">
        <f>'Kuveyt Turk (éves)'!G11</f>
        <v>85494387</v>
      </c>
      <c r="H66" s="10">
        <f>'Kuveyt Turk (éves)'!H11</f>
        <v>122172984</v>
      </c>
      <c r="I66" s="69">
        <f>'Kuveyt Turk (éves)'!I11</f>
        <v>212105389</v>
      </c>
      <c r="J66" s="248"/>
      <c r="K66" s="72" t="s">
        <v>188</v>
      </c>
      <c r="L66" s="10">
        <f>273856+833105</f>
        <v>1106961</v>
      </c>
      <c r="M66" s="10">
        <f>428736+1007387</f>
        <v>1436123</v>
      </c>
      <c r="N66" s="10">
        <f>511661+1117119</f>
        <v>1628780</v>
      </c>
      <c r="O66" s="10">
        <f>783703+1219680</f>
        <v>2003383</v>
      </c>
      <c r="P66" s="10">
        <f>1949975+27385+803290+701833</f>
        <v>3482483</v>
      </c>
      <c r="Q66" s="10">
        <f>2615137+57904+1026615+910311</f>
        <v>4609967</v>
      </c>
      <c r="R66" s="10">
        <f>1177396+1202037+309703+3237473</f>
        <v>5926609</v>
      </c>
      <c r="S66" s="69">
        <f>1518991+1505724+162026+4566363</f>
        <v>7753104</v>
      </c>
    </row>
    <row r="67" spans="1:19">
      <c r="A67" s="72" t="s">
        <v>189</v>
      </c>
      <c r="B67" s="10">
        <f>'Turkiye Finans (éves)'!B11</f>
        <v>19112760</v>
      </c>
      <c r="C67" s="10">
        <f>'Turkiye Finans (éves)'!C11</f>
        <v>22177414</v>
      </c>
      <c r="D67" s="10">
        <f>'Turkiye Finans (éves)'!D11</f>
        <v>21064781</v>
      </c>
      <c r="E67" s="10">
        <f>'Turkiye Finans (éves)'!E11</f>
        <v>22030496</v>
      </c>
      <c r="F67" s="10">
        <f>'Turkiye Finans (éves)'!F11</f>
        <v>26862479</v>
      </c>
      <c r="G67" s="10">
        <f>'Turkiye Finans (éves)'!G11</f>
        <v>39974514</v>
      </c>
      <c r="H67" s="10">
        <f>'Turkiye Finans (éves)'!H11</f>
        <v>57390586</v>
      </c>
      <c r="I67" s="69">
        <f>'Turkiye Finans (éves)'!I11</f>
        <v>84477543</v>
      </c>
      <c r="J67" s="248"/>
      <c r="K67" s="72" t="s">
        <v>189</v>
      </c>
      <c r="L67" s="10">
        <f>299462+718541</f>
        <v>1018003</v>
      </c>
      <c r="M67" s="10">
        <f>551273+807741</f>
        <v>1359014</v>
      </c>
      <c r="N67" s="10">
        <f>846140+850419</f>
        <v>1696559</v>
      </c>
      <c r="O67" s="10">
        <f>875598+580815</f>
        <v>1456413</v>
      </c>
      <c r="P67" s="10">
        <f>502998+450587+98274+957202</f>
        <v>2009061</v>
      </c>
      <c r="Q67" s="10">
        <f>583571+526251+75551+1256926</f>
        <v>2442299</v>
      </c>
      <c r="R67" s="10">
        <f>817781+629664+22504+1248183</f>
        <v>2718132</v>
      </c>
      <c r="S67" s="69">
        <f>886413+730001+37470+1298326</f>
        <v>2952210</v>
      </c>
    </row>
    <row r="68" spans="1:19">
      <c r="A68" s="72" t="s">
        <v>190</v>
      </c>
      <c r="B68" s="76" t="str">
        <f>'Ziraat Katilim (éves)'!B11</f>
        <v>-</v>
      </c>
      <c r="C68" s="76">
        <f>'Ziraat Katilim (éves)'!C11</f>
        <v>1256305</v>
      </c>
      <c r="D68" s="76">
        <f>'Ziraat Katilim (éves)'!D11</f>
        <v>5636002</v>
      </c>
      <c r="E68" s="76">
        <f>'Ziraat Katilim (éves)'!E11</f>
        <v>10024595</v>
      </c>
      <c r="F68" s="76">
        <f>'Ziraat Katilim (éves)'!F11</f>
        <v>15151098</v>
      </c>
      <c r="G68" s="76">
        <f>'Ziraat Katilim (éves)'!G11</f>
        <v>25457245</v>
      </c>
      <c r="H68" s="76">
        <f>'Ziraat Katilim (éves)'!H11</f>
        <v>46386150</v>
      </c>
      <c r="I68" s="174">
        <f>'Ziraat Katilim (éves)'!I11</f>
        <v>77933897</v>
      </c>
      <c r="J68" s="248"/>
      <c r="K68" s="72" t="s">
        <v>190</v>
      </c>
      <c r="L68" s="76"/>
      <c r="M68" s="76">
        <f>68089+15029</f>
        <v>83118</v>
      </c>
      <c r="N68" s="76">
        <f>51770+140579</f>
        <v>192349</v>
      </c>
      <c r="O68" s="76">
        <f>90143+197531</f>
        <v>287674</v>
      </c>
      <c r="P68" s="76">
        <f>167383+137857+50036+346619</f>
        <v>701895</v>
      </c>
      <c r="Q68" s="76">
        <f>241143+183767+87244+492171</f>
        <v>1004325</v>
      </c>
      <c r="R68" s="76">
        <f>316932+235155+173855+994213</f>
        <v>1720155</v>
      </c>
      <c r="S68" s="174">
        <f>392167+317383+30041+958562</f>
        <v>1698153</v>
      </c>
    </row>
    <row r="69" spans="1:19">
      <c r="A69" s="72" t="s">
        <v>191</v>
      </c>
      <c r="B69" s="76" t="str">
        <f>'Vakif Katilim (éves)'!B11</f>
        <v>-</v>
      </c>
      <c r="C69" s="76" t="str">
        <f>'Vakif Katilim (éves)'!C11</f>
        <v>-</v>
      </c>
      <c r="D69" s="76">
        <f>'Vakif Katilim (éves)'!D11</f>
        <v>3034756</v>
      </c>
      <c r="E69" s="76">
        <f>'Vakif Katilim (éves)'!E11</f>
        <v>10088414</v>
      </c>
      <c r="F69" s="76">
        <f>'Vakif Katilim (éves)'!F11</f>
        <v>15182406</v>
      </c>
      <c r="G69" s="76">
        <f>'Vakif Katilim (éves)'!G11</f>
        <v>22953215</v>
      </c>
      <c r="H69" s="76">
        <f>'Vakif Katilim (éves)'!H11</f>
        <v>39566471</v>
      </c>
      <c r="I69" s="174">
        <f>'Vakif Katilim (éves)'!I11</f>
        <v>73625445</v>
      </c>
      <c r="J69" s="248"/>
      <c r="K69" s="72" t="s">
        <v>191</v>
      </c>
      <c r="L69" s="76"/>
      <c r="M69" s="76">
        <v>4708</v>
      </c>
      <c r="N69" s="76">
        <f>24109+84864</f>
        <v>108973</v>
      </c>
      <c r="O69" s="76">
        <f>197393+89645</f>
        <v>287038</v>
      </c>
      <c r="P69" s="76">
        <f>162523+65100+150591+180010</f>
        <v>558224</v>
      </c>
      <c r="Q69" s="76">
        <f>234402+238261+110257+367495</f>
        <v>950415</v>
      </c>
      <c r="R69" s="76">
        <f>401902+357131+166526+514418</f>
        <v>1439977</v>
      </c>
      <c r="S69" s="174">
        <f>480782+493929+217940+751225</f>
        <v>1943876</v>
      </c>
    </row>
    <row r="70" spans="1:19">
      <c r="A70" s="72" t="s">
        <v>192</v>
      </c>
      <c r="B70" s="76" t="str">
        <f>'Emlak Katilim (éves)'!B11</f>
        <v>-</v>
      </c>
      <c r="C70" s="76" t="str">
        <f>'Emlak Katilim (éves)'!C11</f>
        <v>-</v>
      </c>
      <c r="D70" s="76" t="str">
        <f>'Emlak Katilim (éves)'!D11</f>
        <v>-</v>
      </c>
      <c r="E70" s="76" t="str">
        <f>'Emlak Katilim (éves)'!E11</f>
        <v>-</v>
      </c>
      <c r="F70" s="76" t="str">
        <f>'Emlak Katilim (éves)'!F11</f>
        <v>-</v>
      </c>
      <c r="G70" s="76">
        <f>'Emlak Katilim (éves)'!G11</f>
        <v>5952676</v>
      </c>
      <c r="H70" s="76">
        <f>'Emlak Katilim (éves)'!H11</f>
        <v>11677400</v>
      </c>
      <c r="I70" s="174">
        <f>'Emlak Katilim (éves)'!I11</f>
        <v>26793349</v>
      </c>
      <c r="J70" s="248"/>
      <c r="K70" s="72" t="s">
        <v>192</v>
      </c>
      <c r="L70" s="76"/>
      <c r="M70" s="76"/>
      <c r="N70" s="76"/>
      <c r="O70" s="76"/>
      <c r="P70" s="76">
        <f>15321+35341</f>
        <v>50662</v>
      </c>
      <c r="Q70" s="76">
        <f>81432+73875+71506</f>
        <v>226813</v>
      </c>
      <c r="R70" s="76">
        <f>87148+39691+149880</f>
        <v>276719</v>
      </c>
      <c r="S70" s="174">
        <f>110213+15111+284917+203094</f>
        <v>613335</v>
      </c>
    </row>
    <row r="71" spans="1:19" ht="28.8" thickBot="1">
      <c r="A71" s="242" t="s">
        <v>169</v>
      </c>
      <c r="B71" s="244">
        <v>1057637524</v>
      </c>
      <c r="C71" s="244">
        <v>1250697536</v>
      </c>
      <c r="D71" s="244">
        <v>1462843620</v>
      </c>
      <c r="E71" s="244">
        <v>1713185374.8874102</v>
      </c>
      <c r="F71" s="244">
        <v>2036664907</v>
      </c>
      <c r="G71" s="244">
        <v>2474956495</v>
      </c>
      <c r="H71" s="244">
        <v>3308202543</v>
      </c>
      <c r="I71" s="245">
        <v>5011889087</v>
      </c>
      <c r="J71" s="248"/>
      <c r="K71" s="242" t="s">
        <v>169</v>
      </c>
      <c r="L71" s="244">
        <f>16175457+41808190</f>
        <v>57983647</v>
      </c>
      <c r="M71" s="244">
        <f>19586196+48839423</f>
        <v>68425619</v>
      </c>
      <c r="N71" s="244">
        <f>25872969+50868944</f>
        <v>76741913</v>
      </c>
      <c r="O71" s="244">
        <f>26145068+56269646</f>
        <v>82414714</v>
      </c>
      <c r="P71" s="244">
        <f>54346092+27228624+37992550+627821</f>
        <v>120195087</v>
      </c>
      <c r="Q71" s="244">
        <f>67929587+3545459+32345720+44044100+52888</f>
        <v>147917754</v>
      </c>
      <c r="R71" s="244">
        <f>84689034+13389994+37239836+53734515+69889</f>
        <v>189123268</v>
      </c>
      <c r="S71" s="245">
        <f>100614557+21918585+45339771+65177880+270148</f>
        <v>233320941</v>
      </c>
    </row>
    <row r="72" spans="1:19" ht="15" thickBot="1">
      <c r="J72" s="248"/>
    </row>
    <row r="73" spans="1:19" ht="15" thickBot="1">
      <c r="A73" s="339" t="s">
        <v>110</v>
      </c>
      <c r="B73" s="340"/>
      <c r="C73" s="340"/>
      <c r="D73" s="340"/>
      <c r="E73" s="340"/>
      <c r="F73" s="340"/>
      <c r="G73" s="340"/>
      <c r="H73" s="341" t="s">
        <v>127</v>
      </c>
      <c r="I73" s="342"/>
      <c r="J73" s="248"/>
      <c r="K73" s="339" t="s">
        <v>120</v>
      </c>
      <c r="L73" s="340"/>
      <c r="M73" s="340"/>
      <c r="N73" s="340"/>
      <c r="O73" s="340"/>
      <c r="P73" s="340"/>
      <c r="Q73" s="340"/>
      <c r="R73" s="341" t="s">
        <v>127</v>
      </c>
      <c r="S73" s="342"/>
    </row>
    <row r="74" spans="1:19">
      <c r="A74" s="188"/>
      <c r="B74" s="182">
        <v>2014</v>
      </c>
      <c r="C74" s="182">
        <v>2015</v>
      </c>
      <c r="D74" s="182">
        <v>2016</v>
      </c>
      <c r="E74" s="182">
        <v>2017</v>
      </c>
      <c r="F74" s="182">
        <v>2018</v>
      </c>
      <c r="G74" s="182">
        <v>2019</v>
      </c>
      <c r="H74" s="182">
        <v>2020</v>
      </c>
      <c r="I74" s="189">
        <v>2021</v>
      </c>
      <c r="J74" s="248"/>
      <c r="K74" s="188"/>
      <c r="L74" s="182">
        <v>2014</v>
      </c>
      <c r="M74" s="182">
        <v>2015</v>
      </c>
      <c r="N74" s="182">
        <v>2016</v>
      </c>
      <c r="O74" s="182">
        <v>2017</v>
      </c>
      <c r="P74" s="182">
        <v>2018</v>
      </c>
      <c r="Q74" s="182">
        <v>2019</v>
      </c>
      <c r="R74" s="182">
        <v>2020</v>
      </c>
      <c r="S74" s="189">
        <v>2021</v>
      </c>
    </row>
    <row r="75" spans="1:19">
      <c r="A75" s="72" t="s">
        <v>187</v>
      </c>
      <c r="B75" s="10">
        <f>'Albaraka Turk (éves)'!B20</f>
        <v>232824</v>
      </c>
      <c r="C75" s="10">
        <f>'Albaraka Turk (éves)'!C20</f>
        <v>251859</v>
      </c>
      <c r="D75" s="10">
        <f>'Albaraka Turk (éves)'!D20</f>
        <v>233849</v>
      </c>
      <c r="E75" s="10">
        <f>'Albaraka Turk (éves)'!E20</f>
        <v>264820</v>
      </c>
      <c r="F75" s="10">
        <f>'Albaraka Turk (éves)'!F18</f>
        <v>90271</v>
      </c>
      <c r="G75" s="10">
        <f>'Albaraka Turk (éves)'!G18</f>
        <v>134752</v>
      </c>
      <c r="H75" s="10">
        <f>'Albaraka Turk (éves)'!H18</f>
        <v>201243</v>
      </c>
      <c r="I75" s="69">
        <f>'Albaraka Turk (éves)'!I18</f>
        <v>312078</v>
      </c>
      <c r="J75" s="248"/>
      <c r="K75" s="72" t="s">
        <v>187</v>
      </c>
      <c r="L75" s="10">
        <f>'Albaraka Turk (éves)'!B41</f>
        <v>502438</v>
      </c>
      <c r="M75" s="10">
        <f>'Albaraka Turk (éves)'!C41</f>
        <v>654253</v>
      </c>
      <c r="N75" s="10">
        <f>'Albaraka Turk (éves)'!D41</f>
        <v>736126</v>
      </c>
      <c r="O75" s="10">
        <f>'Albaraka Turk (éves)'!E41</f>
        <v>834207</v>
      </c>
      <c r="P75" s="10">
        <f>'Albaraka Turk (éves)'!F41</f>
        <v>622316</v>
      </c>
      <c r="Q75" s="10">
        <f>'Albaraka Turk (éves)'!G41</f>
        <v>444878</v>
      </c>
      <c r="R75" s="10">
        <f>'Albaraka Turk (éves)'!H41</f>
        <v>536484</v>
      </c>
      <c r="S75" s="69">
        <f>'Albaraka Turk (éves)'!I41</f>
        <v>654412</v>
      </c>
    </row>
    <row r="76" spans="1:19">
      <c r="A76" s="72" t="s">
        <v>188</v>
      </c>
      <c r="B76" s="10">
        <f>'Kuveyt Turk (éves)'!B20</f>
        <v>400698</v>
      </c>
      <c r="C76" s="10">
        <f>'Kuveyt Turk (éves)'!C20</f>
        <v>532175</v>
      </c>
      <c r="D76" s="10">
        <f>'Kuveyt Turk (éves)'!D20</f>
        <v>581740</v>
      </c>
      <c r="E76" s="10">
        <f>'Kuveyt Turk (éves)'!E20</f>
        <v>791440</v>
      </c>
      <c r="F76" s="10">
        <f>'Kuveyt Turk (éves)'!F18</f>
        <v>795895</v>
      </c>
      <c r="G76" s="10">
        <f>'Kuveyt Turk (éves)'!G18</f>
        <v>1090995</v>
      </c>
      <c r="H76" s="10">
        <f>'Kuveyt Turk (éves)'!H18</f>
        <v>1570801</v>
      </c>
      <c r="I76" s="69">
        <f>'Kuveyt Turk (éves)'!I18</f>
        <v>2442375</v>
      </c>
      <c r="J76" s="248"/>
      <c r="K76" s="72" t="s">
        <v>188</v>
      </c>
      <c r="L76" s="10">
        <f>'Kuveyt Turk (éves)'!B41</f>
        <v>833105</v>
      </c>
      <c r="M76" s="10">
        <f>'Kuveyt Turk (éves)'!C41</f>
        <v>1007387</v>
      </c>
      <c r="N76" s="10">
        <f>'Kuveyt Turk (éves)'!D41</f>
        <v>1117119</v>
      </c>
      <c r="O76" s="10">
        <f>'Kuveyt Turk (éves)'!E41</f>
        <v>1219680</v>
      </c>
      <c r="P76" s="10">
        <f>'Kuveyt Turk (éves)'!F41</f>
        <v>701833</v>
      </c>
      <c r="Q76" s="10">
        <f>'Kuveyt Turk (éves)'!G41</f>
        <v>910311</v>
      </c>
      <c r="R76" s="10">
        <f>'Kuveyt Turk (éves)'!H41</f>
        <v>1202037</v>
      </c>
      <c r="S76" s="69">
        <f>'Kuveyt Turk (éves)'!I41</f>
        <v>1505724</v>
      </c>
    </row>
    <row r="77" spans="1:19">
      <c r="A77" s="72" t="s">
        <v>189</v>
      </c>
      <c r="B77" s="10">
        <f>'Turkiye Finans (éves)'!B20</f>
        <v>353976</v>
      </c>
      <c r="C77" s="10">
        <f>'Turkiye Finans (éves)'!C20</f>
        <v>440280</v>
      </c>
      <c r="D77" s="10">
        <f>'Turkiye Finans (éves)'!D20</f>
        <v>438439</v>
      </c>
      <c r="E77" s="10">
        <f>'Turkiye Finans (éves)'!E20</f>
        <v>428980</v>
      </c>
      <c r="F77" s="10">
        <f>'Turkiye Finans (éves)'!F18</f>
        <v>254128</v>
      </c>
      <c r="G77" s="10">
        <f>'Turkiye Finans (éves)'!G18</f>
        <v>331220</v>
      </c>
      <c r="H77" s="10">
        <f>'Turkiye Finans (éves)'!H18</f>
        <v>366460</v>
      </c>
      <c r="I77" s="69">
        <f>'Turkiye Finans (éves)'!I18</f>
        <v>450977</v>
      </c>
      <c r="J77" s="248"/>
      <c r="K77" s="72" t="s">
        <v>189</v>
      </c>
      <c r="L77" s="10">
        <f>'Turkiye Finans (éves)'!B41</f>
        <v>718541</v>
      </c>
      <c r="M77" s="10">
        <f>'Turkiye Finans (éves)'!C41</f>
        <v>807741</v>
      </c>
      <c r="N77" s="10">
        <f>'Turkiye Finans (éves)'!D41</f>
        <v>846140</v>
      </c>
      <c r="O77" s="10">
        <f>'Turkiye Finans (éves)'!E41</f>
        <v>875598</v>
      </c>
      <c r="P77" s="10">
        <f>'Turkiye Finans (éves)'!F41</f>
        <v>502998</v>
      </c>
      <c r="Q77" s="10">
        <f>'Turkiye Finans (éves)'!G41</f>
        <v>583571</v>
      </c>
      <c r="R77" s="10">
        <f>'Turkiye Finans (éves)'!H41</f>
        <v>817781</v>
      </c>
      <c r="S77" s="69">
        <f>'Turkiye Finans (éves)'!I41</f>
        <v>886413</v>
      </c>
    </row>
    <row r="78" spans="1:19">
      <c r="A78" s="72" t="s">
        <v>190</v>
      </c>
      <c r="B78" s="76" t="str">
        <f>'Ziraat Katilim (éves)'!B20</f>
        <v>-</v>
      </c>
      <c r="C78" s="76">
        <f>'Ziraat Katilim (éves)'!C20</f>
        <v>14999</v>
      </c>
      <c r="D78" s="76">
        <f>'Ziraat Katilim (éves)'!D20</f>
        <v>64574</v>
      </c>
      <c r="E78" s="76">
        <f>'Ziraat Katilim (éves)'!E20</f>
        <v>142290</v>
      </c>
      <c r="F78" s="76">
        <f>'Ziraat Katilim (éves)'!F18</f>
        <v>133633</v>
      </c>
      <c r="G78" s="76">
        <f>'Ziraat Katilim (éves)'!G18</f>
        <v>235279</v>
      </c>
      <c r="H78" s="76">
        <f>'Ziraat Katilim (éves)'!H18</f>
        <v>409244</v>
      </c>
      <c r="I78" s="174">
        <f>'Ziraat Katilim (éves)'!I18</f>
        <v>647270</v>
      </c>
      <c r="J78" s="248"/>
      <c r="K78" s="72" t="s">
        <v>190</v>
      </c>
      <c r="L78" s="76" t="str">
        <f>'Ziraat Katilim (éves)'!B41</f>
        <v>-</v>
      </c>
      <c r="M78" s="76">
        <f>'Ziraat Katilim (éves)'!C41</f>
        <v>68089</v>
      </c>
      <c r="N78" s="76">
        <f>'Ziraat Katilim (éves)'!D41</f>
        <v>140579</v>
      </c>
      <c r="O78" s="76">
        <f>'Ziraat Katilim (éves)'!E41</f>
        <v>197531</v>
      </c>
      <c r="P78" s="76">
        <f>'Ziraat Katilim (éves)'!F41</f>
        <v>167383</v>
      </c>
      <c r="Q78" s="76">
        <f>'Ziraat Katilim (éves)'!G41</f>
        <v>241143</v>
      </c>
      <c r="R78" s="76">
        <f>'Ziraat Katilim (éves)'!H41</f>
        <v>316932</v>
      </c>
      <c r="S78" s="174">
        <f>'Ziraat Katilim (éves)'!I41</f>
        <v>392167</v>
      </c>
    </row>
    <row r="79" spans="1:19">
      <c r="A79" s="72" t="s">
        <v>191</v>
      </c>
      <c r="B79" s="76" t="str">
        <f>'Vakif Katilim (éves)'!B20</f>
        <v>-</v>
      </c>
      <c r="C79" s="76" t="str">
        <f>'Vakif Katilim (éves)'!C20</f>
        <v>-</v>
      </c>
      <c r="D79" s="76">
        <f>'Vakif Katilim (éves)'!D20</f>
        <v>29101</v>
      </c>
      <c r="E79" s="76">
        <f>'Vakif Katilim (éves)'!E20</f>
        <v>114305</v>
      </c>
      <c r="F79" s="76">
        <f>'Vakif Katilim (éves)'!F18</f>
        <v>141201</v>
      </c>
      <c r="G79" s="76">
        <f>'Vakif Katilim (éves)'!G18</f>
        <v>191054</v>
      </c>
      <c r="H79" s="76">
        <f>'Vakif Katilim (éves)'!H18</f>
        <v>302518</v>
      </c>
      <c r="I79" s="174">
        <f>'Vakif Katilim (éves)'!I18</f>
        <v>387971</v>
      </c>
      <c r="J79" s="248"/>
      <c r="K79" s="72" t="s">
        <v>191</v>
      </c>
      <c r="L79" s="76" t="str">
        <f>'Vakif Katilim (éves)'!B41</f>
        <v>-</v>
      </c>
      <c r="M79" s="76">
        <f>'Vakif Katilim (éves)'!C41</f>
        <v>4708</v>
      </c>
      <c r="N79" s="76">
        <f>'Vakif Katilim (éves)'!D41</f>
        <v>84864</v>
      </c>
      <c r="O79" s="76">
        <f>'Vakif Katilim (éves)'!E41</f>
        <v>197393</v>
      </c>
      <c r="P79" s="76">
        <f>'Vakif Katilim (éves)'!F41</f>
        <v>65100</v>
      </c>
      <c r="Q79" s="76">
        <f>'Vakif Katilim (éves)'!G41</f>
        <v>110257</v>
      </c>
      <c r="R79" s="76">
        <f>'Vakif Katilim (éves)'!H41</f>
        <v>401902</v>
      </c>
      <c r="S79" s="174">
        <f>'Vakif Katilim (éves)'!I41</f>
        <v>480782</v>
      </c>
    </row>
    <row r="80" spans="1:19">
      <c r="A80" s="72" t="s">
        <v>192</v>
      </c>
      <c r="B80" s="76" t="str">
        <f>'Emlak Katilim (éves)'!B18</f>
        <v>-</v>
      </c>
      <c r="C80" s="76" t="str">
        <f>'Emlak Katilim (éves)'!C18</f>
        <v>-</v>
      </c>
      <c r="D80" s="76" t="str">
        <f>'Emlak Katilim (éves)'!D18</f>
        <v>-</v>
      </c>
      <c r="E80" s="76" t="str">
        <f>'Emlak Katilim (éves)'!E18</f>
        <v>-</v>
      </c>
      <c r="F80" s="76">
        <f>'Emlak Katilim (éves)'!F18</f>
        <v>30862</v>
      </c>
      <c r="G80" s="76">
        <f>'Emlak Katilim (éves)'!G18</f>
        <v>98577</v>
      </c>
      <c r="H80" s="76">
        <f>'Emlak Katilim (éves)'!H18</f>
        <v>94223</v>
      </c>
      <c r="I80" s="174">
        <f>'Emlak Katilim (éves)'!I18</f>
        <v>118239</v>
      </c>
      <c r="J80" s="248"/>
      <c r="K80" s="72" t="s">
        <v>192</v>
      </c>
      <c r="L80" s="76" t="str">
        <f>'Emlak Katilim (éves)'!B35</f>
        <v>-</v>
      </c>
      <c r="M80" s="76" t="str">
        <f>'Emlak Katilim (éves)'!C35</f>
        <v>-</v>
      </c>
      <c r="N80" s="76" t="str">
        <f>'Emlak Katilim (éves)'!D35</f>
        <v>-</v>
      </c>
      <c r="O80" s="76" t="str">
        <f>'Emlak Katilim (éves)'!E35</f>
        <v>-</v>
      </c>
      <c r="P80" s="76" t="str">
        <f>'Emlak Katilim (éves)'!F35</f>
        <v>-</v>
      </c>
      <c r="Q80" s="76">
        <f>'Emlak Katilim (éves)'!G35</f>
        <v>212161</v>
      </c>
      <c r="R80" s="76">
        <f>'Emlak Katilim (éves)'!H35</f>
        <v>371613</v>
      </c>
      <c r="S80" s="174">
        <f>'Emlak Katilim (éves)'!I35</f>
        <v>532385</v>
      </c>
    </row>
    <row r="81" spans="1:19" ht="28.8" thickBot="1">
      <c r="A81" s="242" t="s">
        <v>169</v>
      </c>
      <c r="B81" s="244">
        <v>32166368.800000001</v>
      </c>
      <c r="C81" s="244">
        <v>36685425</v>
      </c>
      <c r="D81" s="244">
        <v>42000705</v>
      </c>
      <c r="E81" s="244">
        <v>50392200</v>
      </c>
      <c r="F81" s="244">
        <v>28969849</v>
      </c>
      <c r="G81" s="244">
        <v>32800685</v>
      </c>
      <c r="H81" s="244">
        <v>46945434</v>
      </c>
      <c r="I81" s="245">
        <v>66704305</v>
      </c>
      <c r="J81" s="248"/>
      <c r="K81" s="242" t="s">
        <v>169</v>
      </c>
      <c r="L81" s="244">
        <v>41808190</v>
      </c>
      <c r="M81" s="244">
        <v>48839423</v>
      </c>
      <c r="N81" s="244">
        <v>50868944</v>
      </c>
      <c r="O81" s="244">
        <v>56269646.603</v>
      </c>
      <c r="P81" s="244">
        <v>37992550</v>
      </c>
      <c r="Q81" s="244">
        <v>44044100</v>
      </c>
      <c r="R81" s="244">
        <v>53734515</v>
      </c>
      <c r="S81" s="245">
        <v>65177880</v>
      </c>
    </row>
    <row r="82" spans="1:19" ht="24" thickBot="1">
      <c r="J82" s="248"/>
      <c r="K82" s="343" t="s">
        <v>209</v>
      </c>
      <c r="L82" s="343"/>
      <c r="M82" s="343"/>
      <c r="N82" s="343"/>
      <c r="O82" s="343"/>
      <c r="P82" s="343"/>
      <c r="Q82" s="343"/>
      <c r="R82" s="343"/>
      <c r="S82" s="343"/>
    </row>
    <row r="83" spans="1:19" ht="15" thickBot="1">
      <c r="A83" s="339" t="s">
        <v>175</v>
      </c>
      <c r="B83" s="340"/>
      <c r="C83" s="340"/>
      <c r="D83" s="340"/>
      <c r="E83" s="340"/>
      <c r="F83" s="340"/>
      <c r="G83" s="340"/>
      <c r="H83" s="341" t="s">
        <v>127</v>
      </c>
      <c r="I83" s="342"/>
      <c r="J83" s="248"/>
      <c r="K83" s="339" t="s">
        <v>179</v>
      </c>
      <c r="L83" s="340"/>
      <c r="M83" s="340"/>
      <c r="N83" s="340"/>
      <c r="O83" s="340"/>
      <c r="P83" s="340"/>
      <c r="Q83" s="340"/>
      <c r="R83" s="341" t="s">
        <v>127</v>
      </c>
      <c r="S83" s="342"/>
    </row>
    <row r="84" spans="1:19">
      <c r="A84" s="188"/>
      <c r="B84" s="182">
        <v>2014</v>
      </c>
      <c r="C84" s="182">
        <v>2015</v>
      </c>
      <c r="D84" s="182">
        <v>2016</v>
      </c>
      <c r="E84" s="182">
        <v>2017</v>
      </c>
      <c r="F84" s="182">
        <v>2018</v>
      </c>
      <c r="G84" s="182">
        <v>2019</v>
      </c>
      <c r="H84" s="182">
        <v>2020</v>
      </c>
      <c r="I84" s="189">
        <v>2021</v>
      </c>
      <c r="J84" s="248"/>
      <c r="K84" s="188"/>
      <c r="L84" s="182">
        <v>2014</v>
      </c>
      <c r="M84" s="182">
        <v>2015</v>
      </c>
      <c r="N84" s="182">
        <v>2016</v>
      </c>
      <c r="O84" s="182">
        <v>2017</v>
      </c>
      <c r="P84" s="182">
        <v>2018</v>
      </c>
      <c r="Q84" s="182">
        <v>2019</v>
      </c>
      <c r="R84" s="182">
        <v>2020</v>
      </c>
      <c r="S84" s="189">
        <v>2021</v>
      </c>
    </row>
    <row r="85" spans="1:19">
      <c r="A85" s="72" t="s">
        <v>187</v>
      </c>
      <c r="B85" s="10">
        <f>'Albaraka Turk (éves)'!B9</f>
        <v>1790927</v>
      </c>
      <c r="C85" s="10">
        <f>'Albaraka Turk (éves)'!C9</f>
        <v>2103914</v>
      </c>
      <c r="D85" s="10">
        <f>'Albaraka Turk (éves)'!D9</f>
        <v>2279593</v>
      </c>
      <c r="E85" s="10">
        <f>'Albaraka Turk (éves)'!E9</f>
        <v>2481506</v>
      </c>
      <c r="F85" s="10">
        <f>'Albaraka Turk (éves)'!F9</f>
        <v>3261451</v>
      </c>
      <c r="G85" s="10">
        <f>'Albaraka Turk (éves)'!G9</f>
        <v>3821929</v>
      </c>
      <c r="H85" s="10">
        <f>'Albaraka Turk (éves)'!H9</f>
        <v>4044227</v>
      </c>
      <c r="I85" s="69">
        <f>'Albaraka Turk (éves)'!I9</f>
        <v>4626853</v>
      </c>
      <c r="J85" s="248"/>
      <c r="K85" s="72" t="s">
        <v>187</v>
      </c>
      <c r="L85" s="10">
        <f>'Albaraka Turk (éves)'!B42</f>
        <v>325552</v>
      </c>
      <c r="M85" s="10">
        <f>'Albaraka Turk (éves)'!C42</f>
        <v>376778</v>
      </c>
      <c r="N85" s="10">
        <f>'Albaraka Turk (éves)'!D42</f>
        <v>263920</v>
      </c>
      <c r="O85" s="10">
        <f>'Albaraka Turk (éves)'!E42</f>
        <v>288800</v>
      </c>
      <c r="P85" s="10">
        <f>'Albaraka Turk (éves)'!F42</f>
        <v>168495</v>
      </c>
      <c r="Q85" s="10">
        <f>'Albaraka Turk (éves)'!G42</f>
        <v>87293</v>
      </c>
      <c r="R85" s="10">
        <f>'Albaraka Turk (éves)'!H42</f>
        <v>323735</v>
      </c>
      <c r="S85" s="69">
        <f>'Albaraka Turk (éves)'!I42</f>
        <v>81442</v>
      </c>
    </row>
    <row r="86" spans="1:19">
      <c r="A86" s="72" t="s">
        <v>188</v>
      </c>
      <c r="B86" s="10">
        <f>'Kuveyt Turk (éves)'!B9</f>
        <v>3022870</v>
      </c>
      <c r="C86" s="10">
        <f>'Kuveyt Turk (éves)'!C9</f>
        <v>3402490</v>
      </c>
      <c r="D86" s="10">
        <f>'Kuveyt Turk (éves)'!D9</f>
        <v>3912064</v>
      </c>
      <c r="E86" s="10">
        <f>'Kuveyt Turk (éves)'!E9</f>
        <v>4591151</v>
      </c>
      <c r="F86" s="10">
        <f>'Kuveyt Turk (éves)'!F9</f>
        <v>5438553</v>
      </c>
      <c r="G86" s="10">
        <f>'Kuveyt Turk (éves)'!G9</f>
        <v>6821290</v>
      </c>
      <c r="H86" s="10">
        <f>'Kuveyt Turk (éves)'!H9</f>
        <v>7995097</v>
      </c>
      <c r="I86" s="69">
        <f>'Kuveyt Turk (éves)'!I9</f>
        <v>10456853</v>
      </c>
      <c r="J86" s="248"/>
      <c r="K86" s="72" t="s">
        <v>188</v>
      </c>
      <c r="L86" s="10">
        <f>'Kuveyt Turk (éves)'!B42</f>
        <v>462739</v>
      </c>
      <c r="M86" s="10">
        <f>'Kuveyt Turk (éves)'!C42</f>
        <v>553476</v>
      </c>
      <c r="N86" s="10">
        <f>'Kuveyt Turk (éves)'!D42</f>
        <v>663212</v>
      </c>
      <c r="O86" s="10">
        <f>'Kuveyt Turk (éves)'!E42</f>
        <v>848933</v>
      </c>
      <c r="P86" s="10">
        <f>'Kuveyt Turk (éves)'!F42</f>
        <v>1126057</v>
      </c>
      <c r="Q86" s="10">
        <f>'Kuveyt Turk (éves)'!G42</f>
        <v>1415267</v>
      </c>
      <c r="R86" s="10">
        <f>'Kuveyt Turk (éves)'!H42</f>
        <v>1852683</v>
      </c>
      <c r="S86" s="69">
        <f>'Kuveyt Turk (éves)'!I42</f>
        <v>3547366</v>
      </c>
    </row>
    <row r="87" spans="1:19">
      <c r="A87" s="72" t="s">
        <v>189</v>
      </c>
      <c r="B87" s="10">
        <f>'Turkiye Finans (éves)'!B9</f>
        <v>3153847</v>
      </c>
      <c r="C87" s="10">
        <f>'Turkiye Finans (éves)'!C9</f>
        <v>3356757</v>
      </c>
      <c r="D87" s="10">
        <f>'Turkiye Finans (éves)'!D9</f>
        <v>3663014</v>
      </c>
      <c r="E87" s="10">
        <f>'Turkiye Finans (éves)'!E9</f>
        <v>4060598</v>
      </c>
      <c r="F87" s="10">
        <f>'Turkiye Finans (éves)'!F9</f>
        <v>4323181</v>
      </c>
      <c r="G87" s="10">
        <f>'Turkiye Finans (éves)'!G9</f>
        <v>4827079</v>
      </c>
      <c r="H87" s="10">
        <f>'Turkiye Finans (éves)'!H9</f>
        <v>5495302</v>
      </c>
      <c r="I87" s="69">
        <f>'Turkiye Finans (éves)'!I9</f>
        <v>6556794</v>
      </c>
      <c r="J87" s="248"/>
      <c r="K87" s="72" t="s">
        <v>189</v>
      </c>
      <c r="L87" s="10">
        <f>'Turkiye Finans (éves)'!B42</f>
        <v>425285</v>
      </c>
      <c r="M87" s="10">
        <f>'Turkiye Finans (éves)'!C42</f>
        <v>332825</v>
      </c>
      <c r="N87" s="10">
        <f>'Turkiye Finans (éves)'!D42</f>
        <v>369075</v>
      </c>
      <c r="O87" s="10">
        <f>'Turkiye Finans (éves)'!E42</f>
        <v>457642</v>
      </c>
      <c r="P87" s="10">
        <f>'Turkiye Finans (éves)'!F42</f>
        <v>569450</v>
      </c>
      <c r="Q87" s="10">
        <f>'Turkiye Finans (éves)'!G42</f>
        <v>477153</v>
      </c>
      <c r="R87" s="10">
        <f>'Turkiye Finans (éves)'!H42</f>
        <v>872786</v>
      </c>
      <c r="S87" s="69">
        <f>'Turkiye Finans (éves)'!I42</f>
        <v>1209138</v>
      </c>
    </row>
    <row r="88" spans="1:19">
      <c r="A88" s="72" t="s">
        <v>190</v>
      </c>
      <c r="B88" s="76" t="str">
        <f>'Ziraat Katilim (éves)'!B9</f>
        <v>-</v>
      </c>
      <c r="C88" s="76">
        <f>'Ziraat Katilim (éves)'!C9</f>
        <v>664530</v>
      </c>
      <c r="D88" s="76">
        <f>'Ziraat Katilim (éves)'!D9</f>
        <v>764621</v>
      </c>
      <c r="E88" s="76">
        <f>'Ziraat Katilim (éves)'!E9</f>
        <v>1403681</v>
      </c>
      <c r="F88" s="76">
        <f>'Ziraat Katilim (éves)'!F9</f>
        <v>2544897</v>
      </c>
      <c r="G88" s="76">
        <f>'Ziraat Katilim (éves)'!G9</f>
        <v>3166828</v>
      </c>
      <c r="H88" s="76">
        <f>'Ziraat Katilim (éves)'!H9</f>
        <v>3734273</v>
      </c>
      <c r="I88" s="174">
        <f>'Ziraat Katilim (éves)'!I9</f>
        <v>4321735</v>
      </c>
      <c r="J88" s="248"/>
      <c r="K88" s="72" t="s">
        <v>190</v>
      </c>
      <c r="L88" s="76" t="str">
        <f>'Ziraat Katilim (éves)'!B42</f>
        <v>-</v>
      </c>
      <c r="M88" s="76">
        <f>'Ziraat Katilim (éves)'!C42</f>
        <v>40482</v>
      </c>
      <c r="N88" s="76">
        <f>'Ziraat Katilim (éves)'!D42</f>
        <v>11708</v>
      </c>
      <c r="O88" s="76">
        <f>'Ziraat Katilim (éves)'!E42</f>
        <v>199974</v>
      </c>
      <c r="P88" s="76">
        <f>'Ziraat Katilim (éves)'!F42</f>
        <v>414549</v>
      </c>
      <c r="Q88" s="76">
        <f>'Ziraat Katilim (éves)'!G42</f>
        <v>705300</v>
      </c>
      <c r="R88" s="76">
        <f>'Ziraat Katilim (éves)'!H42</f>
        <v>792482</v>
      </c>
      <c r="S88" s="174">
        <f>'Ziraat Katilim (éves)'!I42</f>
        <v>730171</v>
      </c>
    </row>
    <row r="89" spans="1:19">
      <c r="A89" s="72" t="s">
        <v>191</v>
      </c>
      <c r="B89" s="76" t="str">
        <f>'Vakif Katilim (éves)'!B9</f>
        <v>-</v>
      </c>
      <c r="C89" s="76">
        <f>'Vakif Katilim (éves)'!C9</f>
        <v>857671</v>
      </c>
      <c r="D89" s="76">
        <f>'Vakif Katilim (éves)'!D9</f>
        <v>876418</v>
      </c>
      <c r="E89" s="76">
        <f>'Vakif Katilim (éves)'!E9</f>
        <v>1107885</v>
      </c>
      <c r="F89" s="76">
        <f>'Vakif Katilim (éves)'!F9</f>
        <v>1527226</v>
      </c>
      <c r="G89" s="76">
        <f>'Vakif Katilim (éves)'!G9</f>
        <v>1960693</v>
      </c>
      <c r="H89" s="76">
        <f>'Vakif Katilim (éves)'!H9</f>
        <v>4798566</v>
      </c>
      <c r="I89" s="174">
        <f>'Vakif Katilim (éves)'!I9</f>
        <v>8619719</v>
      </c>
      <c r="J89" s="248"/>
      <c r="K89" s="72" t="s">
        <v>191</v>
      </c>
      <c r="L89" s="76" t="str">
        <f>'Vakif Katilim (éves)'!B42</f>
        <v>-</v>
      </c>
      <c r="M89" s="76">
        <f>'Vakif Katilim (éves)'!C42</f>
        <v>65857</v>
      </c>
      <c r="N89" s="76">
        <f>'Vakif Katilim (éves)'!D42</f>
        <v>26840</v>
      </c>
      <c r="O89" s="76">
        <f>'Vakif Katilim (éves)'!E42</f>
        <v>169882</v>
      </c>
      <c r="P89" s="76">
        <f>'Vakif Katilim (éves)'!F42</f>
        <v>413987</v>
      </c>
      <c r="Q89" s="76">
        <f>'Vakif Katilim (éves)'!G42</f>
        <v>442126</v>
      </c>
      <c r="R89" s="76">
        <f>'Vakif Katilim (éves)'!H42</f>
        <v>842246</v>
      </c>
      <c r="S89" s="174">
        <f>'Vakif Katilim (éves)'!I42</f>
        <v>1665635</v>
      </c>
    </row>
    <row r="90" spans="1:19">
      <c r="A90" s="72" t="s">
        <v>192</v>
      </c>
      <c r="B90" s="76" t="str">
        <f>'Emlak Katilim (éves)'!B9</f>
        <v>-</v>
      </c>
      <c r="C90" s="76" t="str">
        <f>'Emlak Katilim (éves)'!C9</f>
        <v>-</v>
      </c>
      <c r="D90" s="76" t="str">
        <f>'Emlak Katilim (éves)'!D9</f>
        <v>-</v>
      </c>
      <c r="E90" s="76" t="str">
        <f>'Emlak Katilim (éves)'!E9</f>
        <v>-</v>
      </c>
      <c r="F90" s="76">
        <f>'Emlak Katilim (éves)'!F9</f>
        <v>1101106</v>
      </c>
      <c r="G90" s="76">
        <f>'Emlak Katilim (éves)'!G9</f>
        <v>1169173</v>
      </c>
      <c r="H90" s="76">
        <f>'Emlak Katilim (éves)'!H9</f>
        <v>1539266</v>
      </c>
      <c r="I90" s="174">
        <f>'Emlak Katilim (éves)'!I9</f>
        <v>1728423</v>
      </c>
      <c r="J90" s="248"/>
      <c r="K90" s="72" t="s">
        <v>192</v>
      </c>
      <c r="L90" s="76" t="str">
        <f>'Emlak Katilim (éves)'!B42</f>
        <v>-</v>
      </c>
      <c r="M90" s="76" t="str">
        <f>'Emlak Katilim (éves)'!C42</f>
        <v>-</v>
      </c>
      <c r="N90" s="76" t="str">
        <f>'Emlak Katilim (éves)'!D42</f>
        <v>-</v>
      </c>
      <c r="O90" s="76" t="str">
        <f>'Emlak Katilim (éves)'!E42</f>
        <v>-</v>
      </c>
      <c r="P90" s="76">
        <f>'Emlak Katilim (éves)'!F42</f>
        <v>440158</v>
      </c>
      <c r="Q90" s="76">
        <f>'Emlak Katilim (éves)'!G42</f>
        <v>46103</v>
      </c>
      <c r="R90" s="76">
        <f>'Emlak Katilim (éves)'!H42</f>
        <v>104451</v>
      </c>
      <c r="S90" s="174">
        <f>'Emlak Katilim (éves)'!I42</f>
        <v>187998</v>
      </c>
    </row>
    <row r="91" spans="1:19" ht="28.8" thickBot="1">
      <c r="A91" s="242" t="s">
        <v>169</v>
      </c>
      <c r="B91" s="244">
        <v>222331543</v>
      </c>
      <c r="C91" s="244">
        <v>251613646</v>
      </c>
      <c r="D91" s="244">
        <v>288788997.99742717</v>
      </c>
      <c r="E91" s="244">
        <v>345030883</v>
      </c>
      <c r="F91" s="244">
        <v>405257916</v>
      </c>
      <c r="G91" s="244">
        <v>470409822</v>
      </c>
      <c r="H91" s="244">
        <v>571983642</v>
      </c>
      <c r="I91" s="245">
        <v>677635517</v>
      </c>
      <c r="J91" s="248"/>
      <c r="K91" s="242" t="s">
        <v>169</v>
      </c>
      <c r="L91" s="244">
        <v>31010196</v>
      </c>
      <c r="M91" s="244">
        <v>32068025</v>
      </c>
      <c r="N91" s="244">
        <v>45945072</v>
      </c>
      <c r="O91" s="244">
        <v>58916463</v>
      </c>
      <c r="P91" s="244">
        <v>63358014</v>
      </c>
      <c r="Q91" s="244">
        <v>57115182.638640299</v>
      </c>
      <c r="R91" s="244">
        <v>71020637</v>
      </c>
      <c r="S91" s="245">
        <v>111047467</v>
      </c>
    </row>
    <row r="92" spans="1:19" ht="28.2" thickBot="1">
      <c r="A92" s="344" t="s">
        <v>136</v>
      </c>
      <c r="B92" s="344"/>
      <c r="C92" s="344"/>
      <c r="D92" s="344"/>
      <c r="E92" s="344"/>
      <c r="F92" s="344"/>
      <c r="G92" s="344"/>
      <c r="H92" s="344"/>
      <c r="I92" s="344"/>
      <c r="J92" s="248"/>
    </row>
    <row r="93" spans="1:19" ht="15" thickBot="1">
      <c r="A93" s="339" t="s">
        <v>177</v>
      </c>
      <c r="B93" s="340"/>
      <c r="C93" s="340"/>
      <c r="D93" s="340"/>
      <c r="E93" s="340"/>
      <c r="F93" s="340"/>
      <c r="G93" s="340"/>
      <c r="H93" s="341" t="s">
        <v>128</v>
      </c>
      <c r="I93" s="342"/>
      <c r="J93" s="248"/>
      <c r="K93" s="339" t="s">
        <v>130</v>
      </c>
      <c r="L93" s="340"/>
      <c r="M93" s="340"/>
      <c r="N93" s="340"/>
      <c r="O93" s="340"/>
      <c r="P93" s="340"/>
      <c r="Q93" s="340"/>
      <c r="R93" s="341" t="s">
        <v>127</v>
      </c>
      <c r="S93" s="342"/>
    </row>
    <row r="94" spans="1:19">
      <c r="A94" s="68"/>
      <c r="B94" s="14">
        <v>2014</v>
      </c>
      <c r="C94" s="14">
        <v>2015</v>
      </c>
      <c r="D94" s="14">
        <v>2016</v>
      </c>
      <c r="E94" s="14">
        <v>2017</v>
      </c>
      <c r="F94" s="14">
        <v>2018</v>
      </c>
      <c r="G94" s="14">
        <v>2019</v>
      </c>
      <c r="H94" s="14">
        <v>2020</v>
      </c>
      <c r="I94" s="71">
        <v>2021</v>
      </c>
      <c r="J94" s="248"/>
      <c r="K94" s="188"/>
      <c r="L94" s="182">
        <v>2014</v>
      </c>
      <c r="M94" s="182">
        <v>2015</v>
      </c>
      <c r="N94" s="182">
        <v>2016</v>
      </c>
      <c r="O94" s="182">
        <v>2017</v>
      </c>
      <c r="P94" s="182">
        <v>2018</v>
      </c>
      <c r="Q94" s="182">
        <v>2019</v>
      </c>
      <c r="R94" s="182">
        <v>2020</v>
      </c>
      <c r="S94" s="189">
        <v>2021</v>
      </c>
    </row>
    <row r="95" spans="1:19">
      <c r="A95" s="72" t="s">
        <v>187</v>
      </c>
      <c r="B95" s="190">
        <f>'Albaraka Turk (éves)'!B32</f>
        <v>14.15</v>
      </c>
      <c r="C95" s="190">
        <f>'Albaraka Turk (éves)'!C32</f>
        <v>15.27</v>
      </c>
      <c r="D95" s="190">
        <f>'Albaraka Turk (éves)'!D32</f>
        <v>13.46</v>
      </c>
      <c r="E95" s="190">
        <f>'Albaraka Turk (éves)'!E32</f>
        <v>17.059999999999999</v>
      </c>
      <c r="F95" s="190">
        <f>'Albaraka Turk (éves)'!F32</f>
        <v>14.66</v>
      </c>
      <c r="G95" s="190">
        <f>'Albaraka Turk (éves)'!G32</f>
        <v>14.97</v>
      </c>
      <c r="H95" s="190">
        <f>'Albaraka Turk (éves)'!H32</f>
        <v>13.51</v>
      </c>
      <c r="I95" s="191">
        <f>'Albaraka Turk (éves)'!I32</f>
        <v>14.9</v>
      </c>
      <c r="J95" s="248"/>
      <c r="K95" s="72" t="s">
        <v>187</v>
      </c>
      <c r="L95" s="10">
        <f>'Albaraka Turk (éves)'!B43</f>
        <v>252631</v>
      </c>
      <c r="M95" s="10">
        <f>'Albaraka Turk (éves)'!C43</f>
        <v>302863</v>
      </c>
      <c r="N95" s="10">
        <f>'Albaraka Turk (éves)'!D43</f>
        <v>217609</v>
      </c>
      <c r="O95" s="10">
        <f>'Albaraka Turk (éves)'!E43</f>
        <v>237093</v>
      </c>
      <c r="P95" s="10">
        <f>'Albaraka Turk (éves)'!F43</f>
        <v>133968</v>
      </c>
      <c r="Q95" s="10">
        <f>'Albaraka Turk (éves)'!G43</f>
        <v>63429</v>
      </c>
      <c r="R95" s="10">
        <f>'Albaraka Turk (éves)'!H43</f>
        <v>254737</v>
      </c>
      <c r="S95" s="69">
        <f>'Albaraka Turk (éves)'!I43</f>
        <v>104403</v>
      </c>
    </row>
    <row r="96" spans="1:19">
      <c r="A96" s="72" t="s">
        <v>188</v>
      </c>
      <c r="B96" s="190">
        <f>'Kuveyt Turk (éves)'!B32</f>
        <v>15.09</v>
      </c>
      <c r="C96" s="190">
        <f>'Kuveyt Turk (éves)'!C32</f>
        <v>14.23</v>
      </c>
      <c r="D96" s="190">
        <f>'Kuveyt Turk (éves)'!D32</f>
        <v>18.16</v>
      </c>
      <c r="E96" s="190">
        <f>'Kuveyt Turk (éves)'!E32</f>
        <v>17.66</v>
      </c>
      <c r="F96" s="190">
        <f>'Kuveyt Turk (éves)'!F32</f>
        <v>17.68</v>
      </c>
      <c r="G96" s="190">
        <f>'Kuveyt Turk (éves)'!G32</f>
        <v>19.32</v>
      </c>
      <c r="H96" s="190">
        <f>'Kuveyt Turk (éves)'!H32</f>
        <v>21.26</v>
      </c>
      <c r="I96" s="191">
        <f>'Kuveyt Turk (éves)'!I32</f>
        <v>23.05</v>
      </c>
      <c r="J96" s="248"/>
      <c r="K96" s="72" t="s">
        <v>188</v>
      </c>
      <c r="L96" s="10">
        <f>'Kuveyt Turk (éves)'!B43</f>
        <v>370450</v>
      </c>
      <c r="M96" s="10">
        <f>'Kuveyt Turk (éves)'!C43</f>
        <v>444681</v>
      </c>
      <c r="N96" s="10">
        <f>'Kuveyt Turk (éves)'!D43</f>
        <v>541966</v>
      </c>
      <c r="O96" s="10">
        <f>'Kuveyt Turk (éves)'!E43</f>
        <v>673991</v>
      </c>
      <c r="P96" s="10">
        <f>'Kuveyt Turk (éves)'!F43</f>
        <v>869812</v>
      </c>
      <c r="Q96" s="10">
        <f>'Kuveyt Turk (éves)'!G43</f>
        <v>1109838</v>
      </c>
      <c r="R96" s="10">
        <f>'Kuveyt Turk (éves)'!H43</f>
        <v>1400281</v>
      </c>
      <c r="S96" s="69">
        <f>'Kuveyt Turk (éves)'!I43</f>
        <v>2501727</v>
      </c>
    </row>
    <row r="97" spans="1:19">
      <c r="A97" s="72" t="s">
        <v>189</v>
      </c>
      <c r="B97" s="190">
        <f>'Turkiye Finans (éves)'!B28</f>
        <v>12.47</v>
      </c>
      <c r="C97" s="190">
        <f>'Turkiye Finans (éves)'!C28</f>
        <v>13.51</v>
      </c>
      <c r="D97" s="190">
        <f>'Turkiye Finans (éves)'!D28</f>
        <v>15.58</v>
      </c>
      <c r="E97" s="190">
        <f>'Turkiye Finans (éves)'!E28</f>
        <v>18.22</v>
      </c>
      <c r="F97" s="190">
        <f>'Turkiye Finans (éves)'!F28</f>
        <v>16.62</v>
      </c>
      <c r="G97" s="190">
        <f>'Turkiye Finans (éves)'!G28</f>
        <v>17.260000000000002</v>
      </c>
      <c r="H97" s="190">
        <f>'Turkiye Finans (éves)'!H28</f>
        <v>16.64</v>
      </c>
      <c r="I97" s="191">
        <f>'Turkiye Finans (éves)'!I28</f>
        <v>17.850000000000001</v>
      </c>
      <c r="J97" s="248"/>
      <c r="K97" s="72" t="s">
        <v>189</v>
      </c>
      <c r="L97" s="10">
        <f>'Turkiye Finans (éves)'!B43</f>
        <v>334228</v>
      </c>
      <c r="M97" s="10">
        <f>'Turkiye Finans (éves)'!C43</f>
        <v>261076</v>
      </c>
      <c r="N97" s="10">
        <f>'Turkiye Finans (éves)'!D43</f>
        <v>296243</v>
      </c>
      <c r="O97" s="10">
        <f>'Turkiye Finans (éves)'!E43</f>
        <v>375360</v>
      </c>
      <c r="P97" s="10">
        <f>'Turkiye Finans (éves)'!F43</f>
        <v>444750</v>
      </c>
      <c r="Q97" s="10">
        <f>'Turkiye Finans (éves)'!G43</f>
        <v>378174</v>
      </c>
      <c r="R97" s="10">
        <f>'Turkiye Finans (éves)'!H43</f>
        <v>675677</v>
      </c>
      <c r="S97" s="69">
        <f>'Turkiye Finans (éves)'!I43</f>
        <v>921048</v>
      </c>
    </row>
    <row r="98" spans="1:19">
      <c r="A98" s="72" t="s">
        <v>190</v>
      </c>
      <c r="B98" s="192" t="str">
        <f>'Ziraat Katilim (éves)'!B28</f>
        <v>-</v>
      </c>
      <c r="C98" s="192">
        <f>'Ziraat Katilim (éves)'!C28</f>
        <v>47.41</v>
      </c>
      <c r="D98" s="192">
        <f>'Ziraat Katilim (éves)'!D28</f>
        <v>12.46</v>
      </c>
      <c r="E98" s="192">
        <f>'Ziraat Katilim (éves)'!E28</f>
        <v>13.06</v>
      </c>
      <c r="F98" s="192">
        <f>'Ziraat Katilim (éves)'!F28</f>
        <v>12.76</v>
      </c>
      <c r="G98" s="192">
        <f>'Ziraat Katilim (éves)'!G28</f>
        <v>16.579999999999998</v>
      </c>
      <c r="H98" s="192">
        <f>'Ziraat Katilim (éves)'!H28</f>
        <v>14.75</v>
      </c>
      <c r="I98" s="193">
        <f>'Ziraat Katilim (éves)'!I28</f>
        <v>14.02</v>
      </c>
      <c r="J98" s="248"/>
      <c r="K98" s="72" t="s">
        <v>190</v>
      </c>
      <c r="L98" s="76" t="str">
        <f>'Ziraat Katilim (éves)'!B43</f>
        <v>-</v>
      </c>
      <c r="M98" s="76">
        <f>'Ziraat Katilim (éves)'!C43</f>
        <v>30673</v>
      </c>
      <c r="N98" s="76">
        <f>'Ziraat Katilim (éves)'!D43</f>
        <v>11982</v>
      </c>
      <c r="O98" s="76">
        <f>'Ziraat Katilim (éves)'!E43</f>
        <v>158902</v>
      </c>
      <c r="P98" s="76">
        <f>'Ziraat Katilim (éves)'!F43</f>
        <v>325233</v>
      </c>
      <c r="Q98" s="76">
        <f>'Ziraat Katilim (éves)'!G43</f>
        <v>516735</v>
      </c>
      <c r="R98" s="76">
        <f>'Ziraat Katilim (éves)'!H43</f>
        <v>638562</v>
      </c>
      <c r="S98" s="174">
        <f>'Ziraat Katilim (éves)'!I43</f>
        <v>558689</v>
      </c>
    </row>
    <row r="99" spans="1:19">
      <c r="A99" s="72" t="s">
        <v>191</v>
      </c>
      <c r="B99" s="195" t="str">
        <f>'Vakif Katilim (éves)'!B28</f>
        <v>-</v>
      </c>
      <c r="C99" s="195" t="str">
        <f>'Vakif Katilim (éves)'!C28</f>
        <v>-</v>
      </c>
      <c r="D99" s="195">
        <f>'Vakif Katilim (éves)'!D28</f>
        <v>29.25</v>
      </c>
      <c r="E99" s="195">
        <f>'Vakif Katilim (éves)'!E28</f>
        <v>14.09</v>
      </c>
      <c r="F99" s="195">
        <f>'Vakif Katilim (éves)'!F28</f>
        <v>13.6</v>
      </c>
      <c r="G99" s="195">
        <f>'Vakif Katilim (éves)'!G28</f>
        <v>14.88</v>
      </c>
      <c r="H99" s="195">
        <f>'Vakif Katilim (éves)'!H28</f>
        <v>18.47</v>
      </c>
      <c r="I99" s="196">
        <f>'Vakif Katilim (éves)'!I28</f>
        <v>18.29</v>
      </c>
      <c r="J99" s="248"/>
      <c r="K99" s="72" t="s">
        <v>191</v>
      </c>
      <c r="L99" s="76" t="str">
        <f>'Vakif Katilim (éves)'!B43</f>
        <v>-</v>
      </c>
      <c r="M99" s="76">
        <f>'Vakif Katilim (éves)'!C43</f>
        <v>52680</v>
      </c>
      <c r="N99" s="76">
        <f>'Vakif Katilim (éves)'!D43</f>
        <v>19016</v>
      </c>
      <c r="O99" s="76">
        <f>'Vakif Katilim (éves)'!E43</f>
        <v>138132</v>
      </c>
      <c r="P99" s="76">
        <f>'Vakif Katilim (éves)'!F43</f>
        <v>325397</v>
      </c>
      <c r="Q99" s="76">
        <f>'Vakif Katilim (éves)'!G43</f>
        <v>324887</v>
      </c>
      <c r="R99" s="76">
        <f>'Vakif Katilim (éves)'!H43</f>
        <v>666866</v>
      </c>
      <c r="S99" s="174">
        <f>'Vakif Katilim (éves)'!I43</f>
        <v>1239361</v>
      </c>
    </row>
    <row r="100" spans="1:19">
      <c r="A100" s="72" t="s">
        <v>192</v>
      </c>
      <c r="B100" s="195" t="str">
        <f>'Emlak Katilim (éves)'!B28</f>
        <v>-</v>
      </c>
      <c r="C100" s="195" t="str">
        <f>'Emlak Katilim (éves)'!C28</f>
        <v>-</v>
      </c>
      <c r="D100" s="195" t="str">
        <f>'Emlak Katilim (éves)'!D28</f>
        <v>-</v>
      </c>
      <c r="E100" s="195" t="str">
        <f>'Emlak Katilim (éves)'!E28</f>
        <v>-</v>
      </c>
      <c r="F100" s="195">
        <f>'Emlak Katilim (éves)'!F28</f>
        <v>268.36</v>
      </c>
      <c r="G100" s="195">
        <f>'Emlak Katilim (éves)'!G28</f>
        <v>63.64</v>
      </c>
      <c r="H100" s="195">
        <f>'Emlak Katilim (éves)'!H28</f>
        <v>28.05</v>
      </c>
      <c r="I100" s="196">
        <f>'Emlak Katilim (éves)'!I28</f>
        <v>27.83</v>
      </c>
      <c r="J100" s="248"/>
      <c r="K100" s="72" t="s">
        <v>192</v>
      </c>
      <c r="L100" s="76" t="str">
        <f>'Emlak Katilim (éves)'!B43</f>
        <v>-</v>
      </c>
      <c r="M100" s="76" t="str">
        <f>'Emlak Katilim (éves)'!C43</f>
        <v>-</v>
      </c>
      <c r="N100" s="76" t="str">
        <f>'Emlak Katilim (éves)'!D43</f>
        <v>-</v>
      </c>
      <c r="O100" s="76" t="str">
        <f>'Emlak Katilim (éves)'!E43</f>
        <v>-</v>
      </c>
      <c r="P100" s="76">
        <f>'Emlak Katilim (éves)'!F43</f>
        <v>543696</v>
      </c>
      <c r="Q100" s="76">
        <f>'Emlak Katilim (éves)'!G43</f>
        <v>44979</v>
      </c>
      <c r="R100" s="76">
        <f>'Emlak Katilim (éves)'!H43</f>
        <v>80597</v>
      </c>
      <c r="S100" s="174">
        <f>'Emlak Katilim (éves)'!I43</f>
        <v>143113</v>
      </c>
    </row>
    <row r="101" spans="1:19" ht="28.8" thickBot="1">
      <c r="A101" s="242" t="s">
        <v>169</v>
      </c>
      <c r="B101" s="246">
        <v>16.399999999999999</v>
      </c>
      <c r="C101" s="246">
        <v>15.6</v>
      </c>
      <c r="D101" s="246">
        <v>15.5</v>
      </c>
      <c r="E101" s="246">
        <v>16.8</v>
      </c>
      <c r="F101" s="246">
        <v>17.399999999999999</v>
      </c>
      <c r="G101" s="246">
        <v>18.399999999999999</v>
      </c>
      <c r="H101" s="246">
        <v>18.8</v>
      </c>
      <c r="I101" s="247">
        <v>18.399999999999999</v>
      </c>
      <c r="J101" s="248"/>
      <c r="K101" s="242" t="s">
        <v>169</v>
      </c>
      <c r="L101" s="244">
        <v>24387769</v>
      </c>
      <c r="M101" s="244">
        <v>25373057</v>
      </c>
      <c r="N101" s="244">
        <v>36488767</v>
      </c>
      <c r="O101" s="244">
        <v>47096877</v>
      </c>
      <c r="P101" s="244">
        <v>51686788</v>
      </c>
      <c r="Q101" s="244">
        <v>46743844.638640299</v>
      </c>
      <c r="R101" s="244">
        <v>54786103</v>
      </c>
      <c r="S101" s="245">
        <v>87483257</v>
      </c>
    </row>
    <row r="102" spans="1:19" ht="15" thickBot="1">
      <c r="J102" s="248"/>
    </row>
    <row r="103" spans="1:19" ht="15" thickBot="1">
      <c r="A103" s="339" t="s">
        <v>178</v>
      </c>
      <c r="B103" s="340"/>
      <c r="C103" s="340"/>
      <c r="D103" s="340"/>
      <c r="E103" s="340"/>
      <c r="F103" s="340"/>
      <c r="G103" s="340"/>
      <c r="H103" s="341" t="s">
        <v>128</v>
      </c>
      <c r="I103" s="342"/>
      <c r="J103" s="248"/>
    </row>
    <row r="104" spans="1:19">
      <c r="A104" s="68"/>
      <c r="B104" s="14">
        <v>2014</v>
      </c>
      <c r="C104" s="14">
        <v>2015</v>
      </c>
      <c r="D104" s="14">
        <v>2016</v>
      </c>
      <c r="E104" s="14">
        <v>2017</v>
      </c>
      <c r="F104" s="14">
        <v>2018</v>
      </c>
      <c r="G104" s="14">
        <v>2019</v>
      </c>
      <c r="H104" s="14">
        <v>2020</v>
      </c>
      <c r="I104" s="71">
        <v>2021</v>
      </c>
      <c r="J104" s="248"/>
    </row>
    <row r="105" spans="1:19">
      <c r="A105" s="72" t="s">
        <v>187</v>
      </c>
      <c r="B105" s="190">
        <f>'Albaraka Turk (éves)'!B28</f>
        <v>7.7709539666544369</v>
      </c>
      <c r="C105" s="190">
        <f>'Albaraka Turk (éves)'!C28</f>
        <v>7.1169544387035533</v>
      </c>
      <c r="D105" s="190">
        <f>'Albaraka Turk (éves)'!D28</f>
        <v>6.939244409060155</v>
      </c>
      <c r="E105" s="190">
        <f>'Albaraka Turk (éves)'!E28</f>
        <v>6.8494872226526784</v>
      </c>
      <c r="F105" s="190">
        <f>'Albaraka Turk (éves)'!F28</f>
        <v>7.7242276437859996</v>
      </c>
      <c r="G105" s="190">
        <f>'Albaraka Turk (éves)'!G28</f>
        <v>7.4367637622769198</v>
      </c>
      <c r="H105" s="190">
        <f>'Albaraka Turk (éves)'!H28</f>
        <v>5.8344952497770386</v>
      </c>
      <c r="I105" s="191">
        <f>'Albaraka Turk (éves)'!I28</f>
        <v>4.2465676441850286</v>
      </c>
      <c r="J105" s="248"/>
    </row>
    <row r="106" spans="1:19">
      <c r="A106" s="72" t="s">
        <v>188</v>
      </c>
      <c r="B106" s="190">
        <f>'Kuveyt Turk (éves)'!B30</f>
        <v>11.096601243189419</v>
      </c>
      <c r="C106" s="190">
        <f>'Kuveyt Turk (éves)'!C30</f>
        <v>12.359333017878084</v>
      </c>
      <c r="D106" s="190">
        <f>'Kuveyt Turk (éves)'!D30</f>
        <v>12.391656936082846</v>
      </c>
      <c r="E106" s="190">
        <f>'Kuveyt Turk (éves)'!E30</f>
        <v>12.441998749333228</v>
      </c>
      <c r="F106" s="190">
        <f>'Kuveyt Turk (éves)'!F30</f>
        <v>13.649278585682625</v>
      </c>
      <c r="G106" s="190">
        <f>'Kuveyt Turk (éves)'!G30</f>
        <v>15.310790920778913</v>
      </c>
      <c r="H106" s="190">
        <f>'Kuveyt Turk (éves)'!H30</f>
        <v>19.047963395566057</v>
      </c>
      <c r="I106" s="191">
        <f>'Kuveyt Turk (éves)'!I30</f>
        <v>24.296818555257495</v>
      </c>
      <c r="J106" s="248"/>
    </row>
    <row r="107" spans="1:19">
      <c r="A107" s="72" t="s">
        <v>189</v>
      </c>
      <c r="B107" s="190">
        <f>'Turkiye Finans (éves)'!B31</f>
        <v>10.620296418944863</v>
      </c>
      <c r="C107" s="190">
        <f>'Turkiye Finans (éves)'!C31</f>
        <v>11.492133329877618</v>
      </c>
      <c r="D107" s="190">
        <f>'Turkiye Finans (éves)'!D31</f>
        <v>10.594476843386348</v>
      </c>
      <c r="E107" s="190">
        <f>'Turkiye Finans (éves)'!E31</f>
        <v>9.6244191126528662</v>
      </c>
      <c r="F107" s="190">
        <f>'Turkiye Finans (éves)'!F31</f>
        <v>10.883764524316701</v>
      </c>
      <c r="G107" s="190">
        <f>'Turkiye Finans (éves)'!G31</f>
        <v>10.861104614198359</v>
      </c>
      <c r="H107" s="190">
        <f>'Turkiye Finans (éves)'!H31</f>
        <v>14.807343072318865</v>
      </c>
      <c r="I107" s="191">
        <f>'Turkiye Finans (éves)'!I31</f>
        <v>17.637165816098538</v>
      </c>
      <c r="J107" s="248"/>
    </row>
    <row r="108" spans="1:19">
      <c r="A108" s="72" t="s">
        <v>190</v>
      </c>
      <c r="B108" s="192" t="str">
        <f>'Ziraat Katilim (éves)'!B31</f>
        <v>-</v>
      </c>
      <c r="C108" s="192">
        <f>'Ziraat Katilim (éves)'!C31</f>
        <v>3.2766541766361188</v>
      </c>
      <c r="D108" s="192">
        <f>'Ziraat Katilim (éves)'!D31</f>
        <v>10.409741558236041</v>
      </c>
      <c r="E108" s="192">
        <f>'Ziraat Katilim (éves)'!E31</f>
        <v>10.223222370324882</v>
      </c>
      <c r="F108" s="192">
        <f>'Ziraat Katilim (éves)'!F31</f>
        <v>10.011154086000337</v>
      </c>
      <c r="G108" s="192">
        <f>'Ziraat Katilim (éves)'!G31</f>
        <v>11.49168000282933</v>
      </c>
      <c r="H108" s="192">
        <f>'Ziraat Katilim (éves)'!H31</f>
        <v>16.117460078574865</v>
      </c>
      <c r="I108" s="193">
        <f>'Ziraat Katilim (éves)'!I31</f>
        <v>22.748408220309667</v>
      </c>
      <c r="J108" s="248"/>
    </row>
    <row r="109" spans="1:19">
      <c r="A109" s="72" t="s">
        <v>191</v>
      </c>
      <c r="B109" s="195" t="str">
        <f>'Vakif Katilim (éves)'!B31</f>
        <v>-</v>
      </c>
      <c r="C109" s="195">
        <f>'Vakif Katilim (éves)'!C31</f>
        <v>1.0050823684139956</v>
      </c>
      <c r="D109" s="195">
        <f>'Vakif Katilim (éves)'!D31</f>
        <v>5.3421232790745972</v>
      </c>
      <c r="E109" s="195">
        <f>'Vakif Katilim (éves)'!E31</f>
        <v>11.923751111351811</v>
      </c>
      <c r="F109" s="195">
        <f>'Vakif Katilim (éves)'!F31</f>
        <v>13.721290758538684</v>
      </c>
      <c r="G109" s="195">
        <f>'Vakif Katilim (éves)'!G31</f>
        <v>15.478600678433594</v>
      </c>
      <c r="H109" s="195">
        <f>'Vakif Katilim (éves)'!H31</f>
        <v>11.07781533066337</v>
      </c>
      <c r="I109" s="196">
        <f>'Vakif Katilim (éves)'!I31</f>
        <v>11.689138126196458</v>
      </c>
      <c r="J109" s="248"/>
    </row>
    <row r="110" spans="1:19">
      <c r="A110" s="72" t="s">
        <v>192</v>
      </c>
      <c r="B110" s="195" t="str">
        <f>'Emlak Katilim (éves)'!B31</f>
        <v>-</v>
      </c>
      <c r="C110" s="195" t="str">
        <f>'Emlak Katilim (éves)'!C31</f>
        <v>-</v>
      </c>
      <c r="D110" s="195" t="str">
        <f>'Emlak Katilim (éves)'!D31</f>
        <v>-</v>
      </c>
      <c r="E110" s="195" t="str">
        <f>'Emlak Katilim (éves)'!E31</f>
        <v>-</v>
      </c>
      <c r="F110" s="195">
        <f>'Emlak Katilim (éves)'!F31</f>
        <v>1.0342310367939145</v>
      </c>
      <c r="G110" s="195">
        <f>'Emlak Katilim (éves)'!G31</f>
        <v>7.9391766658997431</v>
      </c>
      <c r="H110" s="195">
        <f>'Emlak Katilim (éves)'!H31</f>
        <v>13.246688356658304</v>
      </c>
      <c r="I110" s="196">
        <f>'Emlak Katilim (éves)'!I31</f>
        <v>22.425008230045538</v>
      </c>
      <c r="J110" s="248"/>
    </row>
    <row r="111" spans="1:19" ht="28.8" thickBot="1">
      <c r="A111" s="242" t="s">
        <v>169</v>
      </c>
      <c r="B111" s="246">
        <f t="shared" ref="B111:I111" si="0">B91/B11*100</f>
        <v>11.774111358938674</v>
      </c>
      <c r="C111" s="246">
        <f t="shared" si="0"/>
        <v>11.252873026670919</v>
      </c>
      <c r="D111" s="246">
        <f t="shared" si="0"/>
        <v>11.127178312032749</v>
      </c>
      <c r="E111" s="246">
        <f t="shared" si="0"/>
        <v>11.147868057514762</v>
      </c>
      <c r="F111" s="246">
        <f t="shared" si="0"/>
        <v>11.083646212742346</v>
      </c>
      <c r="G111" s="246">
        <f t="shared" si="0"/>
        <v>11.195208882304982</v>
      </c>
      <c r="H111" s="246">
        <f t="shared" si="0"/>
        <v>10.099408271000671</v>
      </c>
      <c r="I111" s="247">
        <f t="shared" si="0"/>
        <v>7.9821732814244841</v>
      </c>
      <c r="J111" s="248"/>
    </row>
    <row r="113" spans="2:2">
      <c r="B113" s="190"/>
    </row>
  </sheetData>
  <mergeCells count="51">
    <mergeCell ref="K1:S1"/>
    <mergeCell ref="K2:S2"/>
    <mergeCell ref="K22:S22"/>
    <mergeCell ref="K62:S62"/>
    <mergeCell ref="H43:I43"/>
    <mergeCell ref="H33:I33"/>
    <mergeCell ref="H23:I23"/>
    <mergeCell ref="H13:I13"/>
    <mergeCell ref="A12:I12"/>
    <mergeCell ref="A1:I2"/>
    <mergeCell ref="K23:Q23"/>
    <mergeCell ref="R23:S23"/>
    <mergeCell ref="K3:Q3"/>
    <mergeCell ref="R3:S3"/>
    <mergeCell ref="K33:Q33"/>
    <mergeCell ref="R33:S33"/>
    <mergeCell ref="R63:S63"/>
    <mergeCell ref="A63:G63"/>
    <mergeCell ref="H63:I63"/>
    <mergeCell ref="K93:Q93"/>
    <mergeCell ref="R93:S93"/>
    <mergeCell ref="K83:Q83"/>
    <mergeCell ref="R83:S83"/>
    <mergeCell ref="K82:S82"/>
    <mergeCell ref="H83:I83"/>
    <mergeCell ref="A92:I92"/>
    <mergeCell ref="A73:G73"/>
    <mergeCell ref="A83:G83"/>
    <mergeCell ref="H73:I73"/>
    <mergeCell ref="K73:Q73"/>
    <mergeCell ref="R73:S73"/>
    <mergeCell ref="K63:Q63"/>
    <mergeCell ref="H103:I103"/>
    <mergeCell ref="A103:G103"/>
    <mergeCell ref="H3:I3"/>
    <mergeCell ref="A3:G3"/>
    <mergeCell ref="H93:I93"/>
    <mergeCell ref="A93:G93"/>
    <mergeCell ref="A13:G13"/>
    <mergeCell ref="A23:G23"/>
    <mergeCell ref="A33:G33"/>
    <mergeCell ref="A43:G43"/>
    <mergeCell ref="A53:G53"/>
    <mergeCell ref="H53:I53"/>
    <mergeCell ref="A62:I62"/>
    <mergeCell ref="K13:Q13"/>
    <mergeCell ref="R13:S13"/>
    <mergeCell ref="K43:Q43"/>
    <mergeCell ref="K53:Q53"/>
    <mergeCell ref="R53:S53"/>
    <mergeCell ref="R43:S4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4914A5-443A-434E-9D43-AD5643AD58E8}">
  <dimension ref="A1:C7"/>
  <sheetViews>
    <sheetView zoomScale="70" zoomScaleNormal="70" workbookViewId="0">
      <selection activeCell="E5" sqref="E5"/>
    </sheetView>
  </sheetViews>
  <sheetFormatPr defaultRowHeight="14.4"/>
  <cols>
    <col min="1" max="3" width="23.33203125" customWidth="1"/>
  </cols>
  <sheetData>
    <row r="1" spans="1:3" ht="16.2" thickBot="1">
      <c r="A1" s="332" t="s">
        <v>349</v>
      </c>
      <c r="B1" s="333" t="s">
        <v>350</v>
      </c>
      <c r="C1" s="333" t="s">
        <v>351</v>
      </c>
    </row>
    <row r="2" spans="1:3" ht="31.8" thickBot="1">
      <c r="A2" s="334">
        <v>1</v>
      </c>
      <c r="B2" s="335" t="s">
        <v>352</v>
      </c>
      <c r="C2" s="335">
        <v>2.0299999999999998</v>
      </c>
    </row>
    <row r="3" spans="1:3" ht="31.8" thickBot="1">
      <c r="A3" s="336">
        <v>2</v>
      </c>
      <c r="B3" s="337" t="s">
        <v>353</v>
      </c>
      <c r="C3" s="337">
        <v>2.0699999999999998</v>
      </c>
    </row>
    <row r="4" spans="1:3" ht="31.8" thickBot="1">
      <c r="A4" s="334">
        <v>3</v>
      </c>
      <c r="B4" s="335" t="s">
        <v>354</v>
      </c>
      <c r="C4" s="335">
        <v>2.57</v>
      </c>
    </row>
    <row r="5" spans="1:3" ht="31.8" thickBot="1">
      <c r="A5" s="336">
        <v>4</v>
      </c>
      <c r="B5" s="337" t="s">
        <v>355</v>
      </c>
      <c r="C5" s="337">
        <v>2.7</v>
      </c>
    </row>
    <row r="6" spans="1:3" ht="31.8" thickBot="1">
      <c r="A6" s="334">
        <v>5</v>
      </c>
      <c r="B6" s="335" t="s">
        <v>356</v>
      </c>
      <c r="C6" s="335">
        <v>2.77</v>
      </c>
    </row>
    <row r="7" spans="1:3" ht="31.8" thickBot="1">
      <c r="A7" s="336">
        <v>6</v>
      </c>
      <c r="B7" s="337" t="s">
        <v>357</v>
      </c>
      <c r="C7" s="337">
        <v>2.8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5C9FF-DCB6-4E4A-AB36-9844F41667B7}">
  <dimension ref="A1:J43"/>
  <sheetViews>
    <sheetView zoomScale="70" zoomScaleNormal="70" workbookViewId="0">
      <pane xSplit="1" topLeftCell="B1" activePane="topRight" state="frozen"/>
      <selection activeCell="A7" sqref="A7"/>
      <selection pane="topRight" activeCell="M16" sqref="M16"/>
    </sheetView>
  </sheetViews>
  <sheetFormatPr defaultRowHeight="13.8"/>
  <cols>
    <col min="1" max="1" width="49.33203125" style="94" customWidth="1"/>
    <col min="2" max="2" width="12.44140625" style="94" bestFit="1" customWidth="1"/>
    <col min="3" max="3" width="15.6640625" style="94" bestFit="1" customWidth="1"/>
    <col min="4" max="5" width="12.44140625" style="94" bestFit="1" customWidth="1"/>
    <col min="6" max="6" width="12" style="94" bestFit="1" customWidth="1"/>
    <col min="7" max="8" width="12.44140625" style="94" bestFit="1" customWidth="1"/>
    <col min="9" max="9" width="12.88671875" style="94" bestFit="1" customWidth="1"/>
    <col min="10" max="10" width="11.88671875" style="94" bestFit="1" customWidth="1"/>
    <col min="11" max="16384" width="8.88671875" style="94"/>
  </cols>
  <sheetData>
    <row r="1" spans="1:10" ht="22.8" customHeight="1">
      <c r="A1" s="373" t="s">
        <v>2</v>
      </c>
      <c r="B1" s="367">
        <v>2014</v>
      </c>
      <c r="C1" s="367">
        <v>2015</v>
      </c>
      <c r="D1" s="367">
        <v>2016</v>
      </c>
      <c r="E1" s="367">
        <v>2017</v>
      </c>
      <c r="F1" s="367">
        <v>2018</v>
      </c>
      <c r="G1" s="367">
        <v>2019</v>
      </c>
      <c r="H1" s="367">
        <v>2020</v>
      </c>
      <c r="I1" s="369">
        <v>2021</v>
      </c>
      <c r="J1" s="371" t="s">
        <v>124</v>
      </c>
    </row>
    <row r="2" spans="1:10" ht="14.4" thickBot="1">
      <c r="A2" s="374"/>
      <c r="B2" s="368"/>
      <c r="C2" s="368"/>
      <c r="D2" s="368"/>
      <c r="E2" s="368"/>
      <c r="F2" s="368"/>
      <c r="G2" s="368"/>
      <c r="H2" s="368"/>
      <c r="I2" s="370"/>
      <c r="J2" s="372"/>
    </row>
    <row r="3" spans="1:10" ht="20.399999999999999">
      <c r="A3" s="87" t="s">
        <v>135</v>
      </c>
      <c r="B3" s="95"/>
      <c r="C3" s="95"/>
      <c r="D3" s="95"/>
      <c r="E3" s="95"/>
      <c r="F3" s="95"/>
      <c r="G3" s="95"/>
      <c r="H3" s="95"/>
      <c r="I3" s="96"/>
      <c r="J3" s="97"/>
    </row>
    <row r="4" spans="1:10" ht="26.4">
      <c r="A4" s="98" t="s">
        <v>141</v>
      </c>
      <c r="B4" s="95">
        <v>3129186</v>
      </c>
      <c r="C4" s="95">
        <v>4904798</v>
      </c>
      <c r="D4" s="95">
        <v>4999052</v>
      </c>
      <c r="E4" s="95">
        <v>5756995</v>
      </c>
      <c r="F4" s="85">
        <v>5918381</v>
      </c>
      <c r="G4" s="85">
        <v>8795909</v>
      </c>
      <c r="H4" s="85">
        <v>13235008</v>
      </c>
      <c r="I4" s="90">
        <v>26498611</v>
      </c>
      <c r="J4" s="97">
        <f>AVERAGE(B4:I4)</f>
        <v>9154742.5</v>
      </c>
    </row>
    <row r="5" spans="1:10">
      <c r="A5" s="98" t="s">
        <v>142</v>
      </c>
      <c r="B5" s="95">
        <v>1648235</v>
      </c>
      <c r="C5" s="95">
        <v>2482614</v>
      </c>
      <c r="D5" s="95">
        <v>2158177</v>
      </c>
      <c r="E5" s="95">
        <v>1511407</v>
      </c>
      <c r="F5" s="85">
        <v>5217047</v>
      </c>
      <c r="G5" s="85">
        <v>4187332</v>
      </c>
      <c r="H5" s="85">
        <v>3413346</v>
      </c>
      <c r="I5" s="90">
        <v>5296422</v>
      </c>
      <c r="J5" s="97">
        <f t="shared" ref="J5:J43" si="0">AVERAGE(B5:I5)</f>
        <v>3239322.5</v>
      </c>
    </row>
    <row r="6" spans="1:10" ht="39.6">
      <c r="A6" s="98" t="s">
        <v>143</v>
      </c>
      <c r="B6" s="95">
        <v>659760</v>
      </c>
      <c r="C6" s="95">
        <v>1051566</v>
      </c>
      <c r="D6" s="95">
        <v>1382690</v>
      </c>
      <c r="E6" s="95">
        <v>1349233</v>
      </c>
      <c r="F6" s="85">
        <v>1229522</v>
      </c>
      <c r="G6" s="85">
        <v>2014632</v>
      </c>
      <c r="H6" s="85">
        <v>1163448</v>
      </c>
      <c r="I6" s="90">
        <v>752358</v>
      </c>
      <c r="J6" s="97">
        <f t="shared" si="0"/>
        <v>1200401.125</v>
      </c>
    </row>
    <row r="7" spans="1:10">
      <c r="A7" s="98" t="s">
        <v>154</v>
      </c>
      <c r="B7" s="95">
        <v>15474046</v>
      </c>
      <c r="C7" s="95">
        <v>18557965</v>
      </c>
      <c r="D7" s="95">
        <v>21843075</v>
      </c>
      <c r="E7" s="95">
        <v>24456382</v>
      </c>
      <c r="F7" s="85">
        <v>27062226</v>
      </c>
      <c r="G7" s="85">
        <v>30637243</v>
      </c>
      <c r="H7" s="85">
        <v>42055806</v>
      </c>
      <c r="I7" s="90">
        <v>59304778</v>
      </c>
      <c r="J7" s="97">
        <f t="shared" si="0"/>
        <v>29923940.125</v>
      </c>
    </row>
    <row r="8" spans="1:10" ht="26.4">
      <c r="A8" s="98" t="s">
        <v>144</v>
      </c>
      <c r="B8" s="95">
        <v>326975</v>
      </c>
      <c r="C8" s="95">
        <v>468413</v>
      </c>
      <c r="D8" s="95">
        <v>1105954</v>
      </c>
      <c r="E8" s="95">
        <v>1212610</v>
      </c>
      <c r="F8" s="85">
        <v>1888547</v>
      </c>
      <c r="G8" s="85">
        <v>2221723</v>
      </c>
      <c r="H8" s="85">
        <v>2045276</v>
      </c>
      <c r="I8" s="90">
        <v>3783237</v>
      </c>
      <c r="J8" s="97">
        <f>AVERAGE(B8:I8)</f>
        <v>1631591.875</v>
      </c>
    </row>
    <row r="9" spans="1:10">
      <c r="A9" s="88" t="s">
        <v>43</v>
      </c>
      <c r="B9" s="99">
        <v>1790927</v>
      </c>
      <c r="C9" s="99">
        <v>2103914</v>
      </c>
      <c r="D9" s="99">
        <v>2279593</v>
      </c>
      <c r="E9" s="99">
        <v>2481506</v>
      </c>
      <c r="F9" s="99">
        <v>3261451</v>
      </c>
      <c r="G9" s="99">
        <v>3821929</v>
      </c>
      <c r="H9" s="99">
        <v>4044227</v>
      </c>
      <c r="I9" s="100">
        <v>4626853</v>
      </c>
      <c r="J9" s="97">
        <f t="shared" si="0"/>
        <v>3051300</v>
      </c>
    </row>
    <row r="10" spans="1:10">
      <c r="A10" s="88"/>
      <c r="B10" s="99"/>
      <c r="C10" s="99"/>
      <c r="D10" s="99"/>
      <c r="E10" s="99"/>
      <c r="F10" s="99"/>
      <c r="G10" s="99"/>
      <c r="H10" s="99"/>
      <c r="I10" s="100"/>
      <c r="J10" s="97"/>
    </row>
    <row r="11" spans="1:10">
      <c r="A11" s="98" t="s">
        <v>48</v>
      </c>
      <c r="B11" s="95">
        <v>16643218</v>
      </c>
      <c r="C11" s="95">
        <v>20346178</v>
      </c>
      <c r="D11" s="95">
        <v>23155134</v>
      </c>
      <c r="E11" s="95">
        <v>25309840</v>
      </c>
      <c r="F11" s="85">
        <v>28623473</v>
      </c>
      <c r="G11" s="85">
        <v>39769408</v>
      </c>
      <c r="H11" s="85">
        <v>51613124</v>
      </c>
      <c r="I11" s="90">
        <v>91236649</v>
      </c>
      <c r="J11" s="97">
        <f t="shared" si="0"/>
        <v>37087128</v>
      </c>
    </row>
    <row r="12" spans="1:10" ht="27.6">
      <c r="A12" s="101" t="s">
        <v>49</v>
      </c>
      <c r="B12" s="95" t="s">
        <v>1</v>
      </c>
      <c r="C12" s="95" t="s">
        <v>1</v>
      </c>
      <c r="D12" s="95">
        <v>88</v>
      </c>
      <c r="E12" s="95">
        <v>6418</v>
      </c>
      <c r="F12" s="85">
        <v>6852093</v>
      </c>
      <c r="G12" s="85">
        <v>4534625</v>
      </c>
      <c r="H12" s="85">
        <v>7301865</v>
      </c>
      <c r="I12" s="90">
        <v>6259215</v>
      </c>
      <c r="J12" s="97">
        <f t="shared" si="0"/>
        <v>4159050.6666666665</v>
      </c>
    </row>
    <row r="13" spans="1:10">
      <c r="A13" s="101" t="s">
        <v>50</v>
      </c>
      <c r="B13" s="95">
        <v>3215998</v>
      </c>
      <c r="C13" s="95">
        <v>4104688</v>
      </c>
      <c r="D13" s="95">
        <v>4424195</v>
      </c>
      <c r="E13" s="95">
        <v>5411969</v>
      </c>
      <c r="F13" s="85">
        <v>771957</v>
      </c>
      <c r="G13" s="85">
        <v>18237</v>
      </c>
      <c r="H13" s="85">
        <v>2276453</v>
      </c>
      <c r="I13" s="90">
        <v>1327</v>
      </c>
      <c r="J13" s="97">
        <f t="shared" si="0"/>
        <v>2528103</v>
      </c>
    </row>
    <row r="14" spans="1:10" ht="27.6">
      <c r="A14" s="101" t="s">
        <v>51</v>
      </c>
      <c r="B14" s="95">
        <v>116740</v>
      </c>
      <c r="C14" s="95">
        <v>770959</v>
      </c>
      <c r="D14" s="95">
        <v>492784</v>
      </c>
      <c r="E14" s="95">
        <v>340000</v>
      </c>
      <c r="F14" s="85" t="s">
        <v>1</v>
      </c>
      <c r="G14" s="85" t="s">
        <v>1</v>
      </c>
      <c r="H14" s="85" t="s">
        <v>1</v>
      </c>
      <c r="I14" s="90" t="s">
        <v>1</v>
      </c>
      <c r="J14" s="97">
        <f t="shared" si="0"/>
        <v>430120.75</v>
      </c>
    </row>
    <row r="15" spans="1:10" ht="27.6">
      <c r="A15" s="101" t="s">
        <v>52</v>
      </c>
      <c r="B15" s="95" t="s">
        <v>1</v>
      </c>
      <c r="C15" s="95" t="s">
        <v>1</v>
      </c>
      <c r="D15" s="95" t="s">
        <v>1</v>
      </c>
      <c r="E15" s="95" t="s">
        <v>1</v>
      </c>
      <c r="F15" s="85" t="s">
        <v>1</v>
      </c>
      <c r="G15" s="85" t="s">
        <v>1</v>
      </c>
      <c r="H15" s="85" t="s">
        <v>1</v>
      </c>
      <c r="I15" s="90" t="s">
        <v>1</v>
      </c>
      <c r="J15" s="97"/>
    </row>
    <row r="16" spans="1:10" ht="27.6">
      <c r="A16" s="101" t="s">
        <v>53</v>
      </c>
      <c r="B16" s="95">
        <v>510172</v>
      </c>
      <c r="C16" s="95">
        <v>686386</v>
      </c>
      <c r="D16" s="95">
        <v>702359</v>
      </c>
      <c r="E16" s="95">
        <v>694104</v>
      </c>
      <c r="F16" s="85">
        <v>1545</v>
      </c>
      <c r="G16" s="85">
        <v>849</v>
      </c>
      <c r="H16" s="85">
        <v>142596</v>
      </c>
      <c r="I16" s="90">
        <v>187254</v>
      </c>
      <c r="J16" s="97">
        <f t="shared" si="0"/>
        <v>365658.125</v>
      </c>
    </row>
    <row r="17" spans="1:10">
      <c r="A17" s="101" t="s">
        <v>54</v>
      </c>
      <c r="B17" s="95" t="s">
        <v>1</v>
      </c>
      <c r="C17" s="95" t="s">
        <v>1</v>
      </c>
      <c r="D17" s="95" t="s">
        <v>1</v>
      </c>
      <c r="E17" s="95" t="s">
        <v>1</v>
      </c>
      <c r="F17" s="85" t="s">
        <v>1</v>
      </c>
      <c r="G17" s="85">
        <v>300660</v>
      </c>
      <c r="H17" s="85">
        <v>328395</v>
      </c>
      <c r="I17" s="90">
        <v>349614</v>
      </c>
      <c r="J17" s="97">
        <f t="shared" si="0"/>
        <v>326223</v>
      </c>
    </row>
    <row r="18" spans="1:10">
      <c r="A18" s="101" t="s">
        <v>55</v>
      </c>
      <c r="B18" s="95" t="s">
        <v>1</v>
      </c>
      <c r="C18" s="95" t="s">
        <v>1</v>
      </c>
      <c r="D18" s="95" t="s">
        <v>1</v>
      </c>
      <c r="E18" s="95" t="s">
        <v>1</v>
      </c>
      <c r="F18" s="85">
        <v>90271</v>
      </c>
      <c r="G18" s="85">
        <v>134752</v>
      </c>
      <c r="H18" s="85">
        <v>201243</v>
      </c>
      <c r="I18" s="90">
        <v>312078</v>
      </c>
      <c r="J18" s="97">
        <f t="shared" si="0"/>
        <v>184586</v>
      </c>
    </row>
    <row r="19" spans="1:10" ht="27.6">
      <c r="A19" s="101" t="s">
        <v>56</v>
      </c>
      <c r="B19" s="95" t="s">
        <v>1</v>
      </c>
      <c r="C19" s="95" t="s">
        <v>1</v>
      </c>
      <c r="D19" s="95" t="s">
        <v>1</v>
      </c>
      <c r="E19" s="95" t="s">
        <v>1</v>
      </c>
      <c r="F19" s="85">
        <v>56222</v>
      </c>
      <c r="G19" s="85">
        <v>72958</v>
      </c>
      <c r="H19" s="85">
        <v>82968</v>
      </c>
      <c r="I19" s="90">
        <v>117218</v>
      </c>
      <c r="J19" s="97">
        <f t="shared" si="0"/>
        <v>82341.5</v>
      </c>
    </row>
    <row r="20" spans="1:10">
      <c r="A20" s="101" t="s">
        <v>57</v>
      </c>
      <c r="B20" s="95">
        <v>232824</v>
      </c>
      <c r="C20" s="95">
        <v>251859</v>
      </c>
      <c r="D20" s="95">
        <v>233849</v>
      </c>
      <c r="E20" s="95">
        <v>264820</v>
      </c>
      <c r="F20" s="85" t="s">
        <v>1</v>
      </c>
      <c r="G20" s="85" t="s">
        <v>1</v>
      </c>
      <c r="H20" s="85" t="s">
        <v>1</v>
      </c>
      <c r="I20" s="90" t="s">
        <v>1</v>
      </c>
      <c r="J20" s="97">
        <f t="shared" si="0"/>
        <v>245838</v>
      </c>
    </row>
    <row r="21" spans="1:10" ht="27.6">
      <c r="A21" s="101" t="s">
        <v>58</v>
      </c>
      <c r="B21" s="95">
        <v>64119</v>
      </c>
      <c r="C21" s="95">
        <v>58458</v>
      </c>
      <c r="D21" s="95">
        <v>51799</v>
      </c>
      <c r="E21" s="95">
        <v>93257</v>
      </c>
      <c r="F21" s="85" t="s">
        <v>1</v>
      </c>
      <c r="G21" s="85" t="s">
        <v>1</v>
      </c>
      <c r="H21" s="85" t="s">
        <v>1</v>
      </c>
      <c r="I21" s="90" t="s">
        <v>1</v>
      </c>
      <c r="J21" s="97">
        <f t="shared" si="0"/>
        <v>66908.25</v>
      </c>
    </row>
    <row r="22" spans="1:10" ht="27.6">
      <c r="A22" s="101" t="s">
        <v>60</v>
      </c>
      <c r="B22" s="95" t="s">
        <v>1</v>
      </c>
      <c r="C22" s="95" t="s">
        <v>1</v>
      </c>
      <c r="D22" s="95" t="s">
        <v>1</v>
      </c>
      <c r="E22" s="95" t="s">
        <v>1</v>
      </c>
      <c r="F22" s="85">
        <v>1204297</v>
      </c>
      <c r="G22" s="85">
        <v>1375164</v>
      </c>
      <c r="H22" s="85">
        <v>1732562</v>
      </c>
      <c r="I22" s="90">
        <v>3119354</v>
      </c>
      <c r="J22" s="97">
        <f t="shared" si="0"/>
        <v>1857844.25</v>
      </c>
    </row>
    <row r="23" spans="1:10">
      <c r="A23" s="101" t="s">
        <v>59</v>
      </c>
      <c r="B23" s="95">
        <v>472426</v>
      </c>
      <c r="C23" s="95">
        <v>1239557</v>
      </c>
      <c r="D23" s="95">
        <v>1510937</v>
      </c>
      <c r="E23" s="95">
        <v>1627163</v>
      </c>
      <c r="F23" s="85">
        <v>1362343</v>
      </c>
      <c r="G23" s="85">
        <v>1363786</v>
      </c>
      <c r="H23" s="85">
        <v>1592366</v>
      </c>
      <c r="I23" s="90">
        <v>2745561</v>
      </c>
      <c r="J23" s="97">
        <f t="shared" si="0"/>
        <v>1489267.375</v>
      </c>
    </row>
    <row r="24" spans="1:10">
      <c r="A24" s="102" t="s">
        <v>61</v>
      </c>
      <c r="B24" s="104">
        <f t="shared" ref="B24:I24" si="1">SUM(B11:B23)</f>
        <v>21255497</v>
      </c>
      <c r="C24" s="104">
        <f t="shared" si="1"/>
        <v>27458085</v>
      </c>
      <c r="D24" s="104">
        <f t="shared" si="1"/>
        <v>30571145</v>
      </c>
      <c r="E24" s="104">
        <f t="shared" si="1"/>
        <v>33747571</v>
      </c>
      <c r="F24" s="104">
        <f t="shared" si="1"/>
        <v>38962201</v>
      </c>
      <c r="G24" s="104">
        <f t="shared" si="1"/>
        <v>47570439</v>
      </c>
      <c r="H24" s="104">
        <f t="shared" si="1"/>
        <v>65271572</v>
      </c>
      <c r="I24" s="105">
        <f t="shared" si="1"/>
        <v>104328270</v>
      </c>
      <c r="J24" s="103">
        <f t="shared" si="0"/>
        <v>46145597.5</v>
      </c>
    </row>
    <row r="25" spans="1:10" s="106" customFormat="1">
      <c r="A25" s="91" t="s">
        <v>45</v>
      </c>
      <c r="B25" s="104">
        <v>23046424</v>
      </c>
      <c r="C25" s="104">
        <v>29561999</v>
      </c>
      <c r="D25" s="104">
        <v>32850738</v>
      </c>
      <c r="E25" s="104">
        <v>36229077</v>
      </c>
      <c r="F25" s="104">
        <v>42223652</v>
      </c>
      <c r="G25" s="104">
        <v>51392368</v>
      </c>
      <c r="H25" s="104">
        <v>69315799</v>
      </c>
      <c r="I25" s="105">
        <v>108955123</v>
      </c>
      <c r="J25" s="103">
        <f t="shared" si="0"/>
        <v>49196897.5</v>
      </c>
    </row>
    <row r="26" spans="1:10" s="111" customFormat="1">
      <c r="A26" s="107" t="s">
        <v>40</v>
      </c>
      <c r="B26" s="108">
        <f t="shared" ref="B26:I26" si="2">B24+B9</f>
        <v>23046424</v>
      </c>
      <c r="C26" s="108">
        <f t="shared" si="2"/>
        <v>29561999</v>
      </c>
      <c r="D26" s="108">
        <f t="shared" si="2"/>
        <v>32850738</v>
      </c>
      <c r="E26" s="108">
        <f t="shared" si="2"/>
        <v>36229077</v>
      </c>
      <c r="F26" s="108">
        <f t="shared" si="2"/>
        <v>42223652</v>
      </c>
      <c r="G26" s="108">
        <f t="shared" si="2"/>
        <v>51392368</v>
      </c>
      <c r="H26" s="108">
        <f t="shared" si="2"/>
        <v>69315799</v>
      </c>
      <c r="I26" s="109">
        <f t="shared" si="2"/>
        <v>108955123</v>
      </c>
      <c r="J26" s="110">
        <f t="shared" si="0"/>
        <v>49196897.5</v>
      </c>
    </row>
    <row r="27" spans="1:10" s="111" customFormat="1" ht="20.399999999999999">
      <c r="A27" s="92" t="s">
        <v>136</v>
      </c>
      <c r="B27" s="112"/>
      <c r="C27" s="112"/>
      <c r="D27" s="112"/>
      <c r="E27" s="112"/>
      <c r="F27" s="112"/>
      <c r="G27" s="112"/>
      <c r="H27" s="112"/>
      <c r="I27" s="113"/>
      <c r="J27" s="114"/>
    </row>
    <row r="28" spans="1:10">
      <c r="A28" s="115" t="s">
        <v>62</v>
      </c>
      <c r="B28" s="116">
        <f t="shared" ref="B28:I28" si="3">B9/B25*100</f>
        <v>7.7709539666544369</v>
      </c>
      <c r="C28" s="116">
        <f t="shared" si="3"/>
        <v>7.1169544387035533</v>
      </c>
      <c r="D28" s="116">
        <f t="shared" si="3"/>
        <v>6.939244409060155</v>
      </c>
      <c r="E28" s="116">
        <f t="shared" si="3"/>
        <v>6.8494872226526784</v>
      </c>
      <c r="F28" s="116">
        <f t="shared" si="3"/>
        <v>7.7242276437859996</v>
      </c>
      <c r="G28" s="116">
        <f t="shared" si="3"/>
        <v>7.4367637622769198</v>
      </c>
      <c r="H28" s="116">
        <f t="shared" si="3"/>
        <v>5.8344952497770386</v>
      </c>
      <c r="I28" s="117">
        <f t="shared" si="3"/>
        <v>4.2465676441850286</v>
      </c>
      <c r="J28" s="118">
        <f t="shared" si="0"/>
        <v>6.739836792136976</v>
      </c>
    </row>
    <row r="29" spans="1:10">
      <c r="A29" s="115" t="s">
        <v>46</v>
      </c>
      <c r="B29" s="116">
        <f t="shared" ref="B29:I29" si="4">B24/B9</f>
        <v>11.868432940036081</v>
      </c>
      <c r="C29" s="116">
        <f t="shared" si="4"/>
        <v>13.050954078921476</v>
      </c>
      <c r="D29" s="116">
        <f t="shared" si="4"/>
        <v>13.410790873634021</v>
      </c>
      <c r="E29" s="116">
        <f t="shared" si="4"/>
        <v>13.599633045416775</v>
      </c>
      <c r="F29" s="116">
        <f t="shared" si="4"/>
        <v>11.94627820562075</v>
      </c>
      <c r="G29" s="116">
        <f t="shared" si="4"/>
        <v>12.446709240281544</v>
      </c>
      <c r="H29" s="116">
        <f t="shared" si="4"/>
        <v>16.13944321127375</v>
      </c>
      <c r="I29" s="117">
        <f t="shared" si="4"/>
        <v>22.548429785860929</v>
      </c>
      <c r="J29" s="118">
        <f t="shared" si="0"/>
        <v>14.376333922630666</v>
      </c>
    </row>
    <row r="30" spans="1:10">
      <c r="A30" s="115" t="s">
        <v>47</v>
      </c>
      <c r="B30" s="116">
        <f t="shared" ref="B30:I30" si="5">B25/B9</f>
        <v>12.868432940036081</v>
      </c>
      <c r="C30" s="116">
        <f t="shared" si="5"/>
        <v>14.050954078921476</v>
      </c>
      <c r="D30" s="116">
        <f t="shared" si="5"/>
        <v>14.410790873634021</v>
      </c>
      <c r="E30" s="116">
        <f t="shared" si="5"/>
        <v>14.599633045416775</v>
      </c>
      <c r="F30" s="116">
        <f t="shared" si="5"/>
        <v>12.94627820562075</v>
      </c>
      <c r="G30" s="116">
        <f t="shared" si="5"/>
        <v>13.446709240281544</v>
      </c>
      <c r="H30" s="116">
        <f t="shared" si="5"/>
        <v>17.13944321127375</v>
      </c>
      <c r="I30" s="117">
        <f t="shared" si="5"/>
        <v>23.548429785860929</v>
      </c>
      <c r="J30" s="118">
        <f t="shared" si="0"/>
        <v>15.376333922630666</v>
      </c>
    </row>
    <row r="31" spans="1:10">
      <c r="A31" s="115" t="s">
        <v>63</v>
      </c>
      <c r="B31" s="116">
        <f t="shared" ref="B31:I31" si="6">B9/B24*100</f>
        <v>8.4257121816535268</v>
      </c>
      <c r="C31" s="116">
        <f t="shared" si="6"/>
        <v>7.6622750639747812</v>
      </c>
      <c r="D31" s="116">
        <f t="shared" si="6"/>
        <v>7.4566817827726117</v>
      </c>
      <c r="E31" s="116">
        <f t="shared" si="6"/>
        <v>7.3531395785492242</v>
      </c>
      <c r="F31" s="116">
        <f t="shared" si="6"/>
        <v>8.3708079017404575</v>
      </c>
      <c r="G31" s="116">
        <f t="shared" si="6"/>
        <v>8.0342521119050421</v>
      </c>
      <c r="H31" s="116">
        <f t="shared" si="6"/>
        <v>6.1960006111083095</v>
      </c>
      <c r="I31" s="117">
        <f t="shared" si="6"/>
        <v>4.4348986137697866</v>
      </c>
      <c r="J31" s="118">
        <f t="shared" si="0"/>
        <v>7.2417209806842182</v>
      </c>
    </row>
    <row r="32" spans="1:10" s="119" customFormat="1">
      <c r="A32" s="115" t="s">
        <v>41</v>
      </c>
      <c r="B32" s="116">
        <v>14.15</v>
      </c>
      <c r="C32" s="116">
        <v>15.27</v>
      </c>
      <c r="D32" s="116">
        <v>13.46</v>
      </c>
      <c r="E32" s="116">
        <v>17.059999999999999</v>
      </c>
      <c r="F32" s="116">
        <v>14.66</v>
      </c>
      <c r="G32" s="116">
        <v>14.97</v>
      </c>
      <c r="H32" s="116">
        <v>13.51</v>
      </c>
      <c r="I32" s="117">
        <v>14.9</v>
      </c>
      <c r="J32" s="118">
        <f t="shared" si="0"/>
        <v>14.7475</v>
      </c>
    </row>
    <row r="33" spans="1:10" ht="20.399999999999999">
      <c r="A33" s="93" t="s">
        <v>137</v>
      </c>
      <c r="B33" s="120"/>
      <c r="C33" s="120"/>
      <c r="D33" s="120"/>
      <c r="E33" s="120"/>
      <c r="F33" s="121"/>
      <c r="G33" s="121"/>
      <c r="H33" s="121"/>
      <c r="I33" s="122"/>
      <c r="J33" s="123"/>
    </row>
    <row r="34" spans="1:10" s="125" customFormat="1">
      <c r="A34" s="124" t="s">
        <v>122</v>
      </c>
      <c r="B34" s="120">
        <v>1502306</v>
      </c>
      <c r="C34" s="120">
        <v>1935159</v>
      </c>
      <c r="D34" s="120">
        <v>2218804</v>
      </c>
      <c r="E34" s="120">
        <v>2658587</v>
      </c>
      <c r="F34" s="121">
        <v>3019738</v>
      </c>
      <c r="G34" s="121">
        <v>3344284</v>
      </c>
      <c r="H34" s="121">
        <v>3584628</v>
      </c>
      <c r="I34" s="122">
        <v>5023098</v>
      </c>
      <c r="J34" s="123">
        <f t="shared" si="0"/>
        <v>2910825.5</v>
      </c>
    </row>
    <row r="35" spans="1:10" s="125" customFormat="1">
      <c r="A35" s="124" t="s">
        <v>123</v>
      </c>
      <c r="B35" s="120">
        <v>803332</v>
      </c>
      <c r="C35" s="120">
        <v>1049478</v>
      </c>
      <c r="D35" s="120">
        <v>1195186</v>
      </c>
      <c r="E35" s="120">
        <v>1390788</v>
      </c>
      <c r="F35" s="121">
        <v>2000179</v>
      </c>
      <c r="G35" s="121">
        <v>2521054</v>
      </c>
      <c r="H35" s="121">
        <v>1879008</v>
      </c>
      <c r="I35" s="122">
        <v>3329736</v>
      </c>
      <c r="J35" s="123">
        <f t="shared" si="0"/>
        <v>1771095.125</v>
      </c>
    </row>
    <row r="36" spans="1:10" s="131" customFormat="1">
      <c r="A36" s="126" t="s">
        <v>138</v>
      </c>
      <c r="B36" s="127">
        <f>B34-B35</f>
        <v>698974</v>
      </c>
      <c r="C36" s="127">
        <f t="shared" ref="C36:I36" si="7">C34-C35</f>
        <v>885681</v>
      </c>
      <c r="D36" s="127">
        <f t="shared" si="7"/>
        <v>1023618</v>
      </c>
      <c r="E36" s="127">
        <f t="shared" si="7"/>
        <v>1267799</v>
      </c>
      <c r="F36" s="128">
        <f t="shared" si="7"/>
        <v>1019559</v>
      </c>
      <c r="G36" s="128">
        <f t="shared" si="7"/>
        <v>823230</v>
      </c>
      <c r="H36" s="128">
        <f t="shared" si="7"/>
        <v>1705620</v>
      </c>
      <c r="I36" s="129">
        <f t="shared" si="7"/>
        <v>1693362</v>
      </c>
      <c r="J36" s="130">
        <f t="shared" si="0"/>
        <v>1139730.375</v>
      </c>
    </row>
    <row r="37" spans="1:10">
      <c r="A37" s="132" t="s">
        <v>114</v>
      </c>
      <c r="B37" s="120">
        <v>128336</v>
      </c>
      <c r="C37" s="120">
        <v>135997</v>
      </c>
      <c r="D37" s="120">
        <v>145935</v>
      </c>
      <c r="E37" s="120">
        <v>148457</v>
      </c>
      <c r="F37" s="121">
        <v>198153</v>
      </c>
      <c r="G37" s="121">
        <v>299829</v>
      </c>
      <c r="H37" s="121">
        <v>233567</v>
      </c>
      <c r="I37" s="122">
        <v>405756</v>
      </c>
      <c r="J37" s="123">
        <f t="shared" si="0"/>
        <v>212003.75</v>
      </c>
    </row>
    <row r="38" spans="1:10" s="133" customFormat="1">
      <c r="A38" s="132" t="s">
        <v>139</v>
      </c>
      <c r="B38" s="120">
        <v>180</v>
      </c>
      <c r="C38" s="120">
        <v>519</v>
      </c>
      <c r="D38" s="120" t="s">
        <v>1</v>
      </c>
      <c r="E38" s="120" t="s">
        <v>1</v>
      </c>
      <c r="F38" s="121">
        <v>177</v>
      </c>
      <c r="G38" s="121" t="s">
        <v>1</v>
      </c>
      <c r="H38" s="121" t="s">
        <v>1</v>
      </c>
      <c r="I38" s="122">
        <v>768</v>
      </c>
      <c r="J38" s="123">
        <f t="shared" si="0"/>
        <v>411</v>
      </c>
    </row>
    <row r="39" spans="1:10">
      <c r="A39" s="132" t="s">
        <v>115</v>
      </c>
      <c r="B39" s="120">
        <v>53257</v>
      </c>
      <c r="C39" s="120">
        <v>52570</v>
      </c>
      <c r="D39" s="120">
        <v>45139</v>
      </c>
      <c r="E39" s="120">
        <v>45363</v>
      </c>
      <c r="F39" s="121">
        <v>358815</v>
      </c>
      <c r="G39" s="121">
        <v>323709</v>
      </c>
      <c r="H39" s="121">
        <v>266884</v>
      </c>
      <c r="I39" s="122">
        <v>136227</v>
      </c>
      <c r="J39" s="123">
        <f t="shared" si="0"/>
        <v>160245.5</v>
      </c>
    </row>
    <row r="40" spans="1:10">
      <c r="A40" s="132" t="s">
        <v>116</v>
      </c>
      <c r="B40" s="120">
        <v>96819</v>
      </c>
      <c r="C40" s="120">
        <v>113407</v>
      </c>
      <c r="D40" s="120">
        <v>157511</v>
      </c>
      <c r="E40" s="120">
        <v>122146</v>
      </c>
      <c r="F40" s="121">
        <v>360618</v>
      </c>
      <c r="G40" s="121">
        <v>543084</v>
      </c>
      <c r="H40" s="121">
        <v>562059</v>
      </c>
      <c r="I40" s="122">
        <v>1142931</v>
      </c>
      <c r="J40" s="123">
        <f t="shared" si="0"/>
        <v>387321.875</v>
      </c>
    </row>
    <row r="41" spans="1:10">
      <c r="A41" s="132" t="s">
        <v>140</v>
      </c>
      <c r="B41" s="120">
        <v>502438</v>
      </c>
      <c r="C41" s="120">
        <v>654253</v>
      </c>
      <c r="D41" s="120">
        <v>736126</v>
      </c>
      <c r="E41" s="120">
        <v>834207</v>
      </c>
      <c r="F41" s="121">
        <v>622316</v>
      </c>
      <c r="G41" s="121">
        <v>444878</v>
      </c>
      <c r="H41" s="121">
        <v>536484</v>
      </c>
      <c r="I41" s="122">
        <v>654412</v>
      </c>
      <c r="J41" s="123">
        <f t="shared" si="0"/>
        <v>623139.25</v>
      </c>
    </row>
    <row r="42" spans="1:10">
      <c r="A42" s="132" t="s">
        <v>117</v>
      </c>
      <c r="B42" s="120">
        <v>325552</v>
      </c>
      <c r="C42" s="120">
        <v>376778</v>
      </c>
      <c r="D42" s="120">
        <v>263920</v>
      </c>
      <c r="E42" s="120">
        <v>288800</v>
      </c>
      <c r="F42" s="121">
        <v>168495</v>
      </c>
      <c r="G42" s="121">
        <v>87293</v>
      </c>
      <c r="H42" s="121">
        <v>323735</v>
      </c>
      <c r="I42" s="122">
        <v>81442</v>
      </c>
      <c r="J42" s="123">
        <f t="shared" si="0"/>
        <v>239501.875</v>
      </c>
    </row>
    <row r="43" spans="1:10" ht="14.4" thickBot="1">
      <c r="A43" s="134" t="s">
        <v>132</v>
      </c>
      <c r="B43" s="135">
        <v>252631</v>
      </c>
      <c r="C43" s="135">
        <v>302863</v>
      </c>
      <c r="D43" s="135">
        <v>217609</v>
      </c>
      <c r="E43" s="135">
        <v>237093</v>
      </c>
      <c r="F43" s="136">
        <v>133968</v>
      </c>
      <c r="G43" s="136">
        <v>63429</v>
      </c>
      <c r="H43" s="136">
        <v>254737</v>
      </c>
      <c r="I43" s="137">
        <v>104403</v>
      </c>
      <c r="J43" s="138">
        <f t="shared" si="0"/>
        <v>195841.625</v>
      </c>
    </row>
  </sheetData>
  <mergeCells count="10">
    <mergeCell ref="H1:H2"/>
    <mergeCell ref="I1:I2"/>
    <mergeCell ref="B1:B2"/>
    <mergeCell ref="J1:J2"/>
    <mergeCell ref="A1:A2"/>
    <mergeCell ref="C1:C2"/>
    <mergeCell ref="D1:D2"/>
    <mergeCell ref="E1:E2"/>
    <mergeCell ref="F1:F2"/>
    <mergeCell ref="G1:G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C5E25-52E7-4A6B-AB5C-3D4FE36B14EA}">
  <dimension ref="A1:AG26"/>
  <sheetViews>
    <sheetView zoomScale="70" zoomScaleNormal="70" workbookViewId="0">
      <pane xSplit="1" topLeftCell="B1" activePane="topRight" state="frozen"/>
      <selection activeCell="A7" sqref="A7"/>
      <selection pane="topRight" activeCell="F12" sqref="F12"/>
    </sheetView>
  </sheetViews>
  <sheetFormatPr defaultRowHeight="13.8"/>
  <cols>
    <col min="1" max="1" width="49.33203125" style="2" customWidth="1"/>
    <col min="2" max="3" width="12.44140625" style="2" customWidth="1"/>
    <col min="4" max="12" width="12.44140625" style="2" bestFit="1" customWidth="1"/>
    <col min="13" max="13" width="15.6640625" style="2" bestFit="1" customWidth="1"/>
    <col min="14" max="20" width="12.44140625" style="2" bestFit="1" customWidth="1"/>
    <col min="21" max="21" width="12" style="2" bestFit="1" customWidth="1"/>
    <col min="22" max="25" width="12.44140625" style="2" bestFit="1" customWidth="1"/>
    <col min="26" max="28" width="12.44140625" style="2" customWidth="1"/>
    <col min="29" max="29" width="12.44140625" style="2" bestFit="1" customWidth="1"/>
    <col min="30" max="32" width="12.44140625" style="2" customWidth="1"/>
    <col min="33" max="33" width="12.88671875" style="2" bestFit="1" customWidth="1"/>
    <col min="34" max="16384" width="8.88671875" style="2"/>
  </cols>
  <sheetData>
    <row r="1" spans="1:33" ht="22.8" customHeight="1">
      <c r="A1" s="377" t="s">
        <v>2</v>
      </c>
      <c r="B1" s="375" t="s">
        <v>7</v>
      </c>
      <c r="C1" s="375" t="s">
        <v>8</v>
      </c>
      <c r="D1" s="375" t="s">
        <v>9</v>
      </c>
      <c r="E1" s="375" t="s">
        <v>10</v>
      </c>
      <c r="F1" s="375" t="s">
        <v>11</v>
      </c>
      <c r="G1" s="375" t="s">
        <v>12</v>
      </c>
      <c r="H1" s="375" t="s">
        <v>13</v>
      </c>
      <c r="I1" s="375" t="s">
        <v>14</v>
      </c>
      <c r="J1" s="375" t="s">
        <v>15</v>
      </c>
      <c r="K1" s="375" t="s">
        <v>16</v>
      </c>
      <c r="L1" s="375" t="s">
        <v>17</v>
      </c>
      <c r="M1" s="375" t="s">
        <v>18</v>
      </c>
      <c r="N1" s="375" t="s">
        <v>19</v>
      </c>
      <c r="O1" s="375" t="s">
        <v>20</v>
      </c>
      <c r="P1" s="375" t="s">
        <v>21</v>
      </c>
      <c r="Q1" s="375" t="s">
        <v>22</v>
      </c>
      <c r="R1" s="375" t="s">
        <v>23</v>
      </c>
      <c r="S1" s="375" t="s">
        <v>24</v>
      </c>
      <c r="T1" s="375" t="s">
        <v>25</v>
      </c>
      <c r="U1" s="375" t="s">
        <v>26</v>
      </c>
      <c r="V1" s="375" t="s">
        <v>27</v>
      </c>
      <c r="W1" s="375" t="s">
        <v>28</v>
      </c>
      <c r="X1" s="375" t="s">
        <v>29</v>
      </c>
      <c r="Y1" s="375" t="s">
        <v>30</v>
      </c>
      <c r="Z1" s="375" t="s">
        <v>31</v>
      </c>
      <c r="AA1" s="375" t="s">
        <v>32</v>
      </c>
      <c r="AB1" s="375" t="s">
        <v>33</v>
      </c>
      <c r="AC1" s="375" t="s">
        <v>34</v>
      </c>
      <c r="AD1" s="375" t="s">
        <v>35</v>
      </c>
      <c r="AE1" s="375" t="s">
        <v>36</v>
      </c>
      <c r="AF1" s="375" t="s">
        <v>37</v>
      </c>
      <c r="AG1" s="375" t="s">
        <v>38</v>
      </c>
    </row>
    <row r="2" spans="1:33">
      <c r="A2" s="378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376"/>
      <c r="AG2" s="376"/>
    </row>
    <row r="3" spans="1:33" ht="20.399999999999999">
      <c r="A3" s="81" t="s">
        <v>135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>
      <c r="A4" s="80" t="s">
        <v>43</v>
      </c>
      <c r="B4" s="4">
        <v>1531294</v>
      </c>
      <c r="C4" s="4">
        <v>1599583</v>
      </c>
      <c r="D4" s="4">
        <v>1659773</v>
      </c>
      <c r="E4" s="5">
        <v>1790927</v>
      </c>
      <c r="F4" s="4">
        <v>1814537</v>
      </c>
      <c r="G4" s="4">
        <v>1893682</v>
      </c>
      <c r="H4" s="4">
        <v>1968828</v>
      </c>
      <c r="I4" s="5">
        <v>2103914</v>
      </c>
      <c r="J4" s="4">
        <v>2113283</v>
      </c>
      <c r="K4" s="4">
        <v>2171951</v>
      </c>
      <c r="L4" s="4">
        <v>2221109</v>
      </c>
      <c r="M4" s="5">
        <v>2279593</v>
      </c>
      <c r="N4" s="4">
        <v>2277745</v>
      </c>
      <c r="O4" s="4">
        <v>2376890</v>
      </c>
      <c r="P4" s="4">
        <v>2382975</v>
      </c>
      <c r="Q4" s="5">
        <v>2481506</v>
      </c>
      <c r="R4" s="4">
        <v>3160405</v>
      </c>
      <c r="S4" s="4">
        <v>3281530</v>
      </c>
      <c r="T4" s="4">
        <v>3499748</v>
      </c>
      <c r="U4" s="5">
        <v>3261451</v>
      </c>
      <c r="V4" s="4">
        <v>3257122</v>
      </c>
      <c r="W4" s="4">
        <v>3287783</v>
      </c>
      <c r="X4" s="4">
        <v>3233427</v>
      </c>
      <c r="Y4" s="5">
        <v>3821929</v>
      </c>
      <c r="Z4" s="4">
        <v>3780402</v>
      </c>
      <c r="AA4" s="4">
        <v>3920642</v>
      </c>
      <c r="AB4" s="4">
        <v>3972201</v>
      </c>
      <c r="AC4" s="5">
        <v>4044227</v>
      </c>
      <c r="AD4" s="4">
        <v>4091477</v>
      </c>
      <c r="AE4" s="4">
        <v>4090553</v>
      </c>
      <c r="AF4" s="4">
        <v>4060707</v>
      </c>
      <c r="AG4" s="6">
        <v>4626853</v>
      </c>
    </row>
    <row r="5" spans="1:33">
      <c r="A5" s="63" t="s">
        <v>48</v>
      </c>
      <c r="B5" s="10">
        <v>12641768</v>
      </c>
      <c r="C5" s="10">
        <v>13671628</v>
      </c>
      <c r="D5" s="10">
        <v>15399140</v>
      </c>
      <c r="E5" s="11">
        <v>16643218</v>
      </c>
      <c r="F5" s="10">
        <v>17544047</v>
      </c>
      <c r="G5" s="10">
        <v>18347596</v>
      </c>
      <c r="H5" s="10">
        <v>20437731</v>
      </c>
      <c r="I5" s="11">
        <v>20346178</v>
      </c>
      <c r="J5" s="10">
        <v>19493743</v>
      </c>
      <c r="K5" s="10">
        <v>19766601</v>
      </c>
      <c r="L5" s="10">
        <v>20108581</v>
      </c>
      <c r="M5" s="11">
        <v>23155134</v>
      </c>
      <c r="N5" s="10">
        <v>23667806</v>
      </c>
      <c r="O5" s="10">
        <v>23770802</v>
      </c>
      <c r="P5" s="10">
        <v>24109244</v>
      </c>
      <c r="Q5" s="11">
        <v>25309840</v>
      </c>
      <c r="R5" s="19">
        <v>26098879</v>
      </c>
      <c r="S5" s="19">
        <v>27711292</v>
      </c>
      <c r="T5" s="19">
        <v>29329565</v>
      </c>
      <c r="U5" s="20">
        <v>28623473</v>
      </c>
      <c r="V5" s="19">
        <v>30627739</v>
      </c>
      <c r="W5" s="19">
        <v>33045198</v>
      </c>
      <c r="X5" s="19">
        <v>34793946</v>
      </c>
      <c r="Y5" s="20">
        <v>39769408</v>
      </c>
      <c r="Z5" s="19">
        <v>43277004</v>
      </c>
      <c r="AA5" s="19">
        <v>45566330</v>
      </c>
      <c r="AB5" s="19">
        <v>52358485</v>
      </c>
      <c r="AC5" s="20">
        <v>51613124</v>
      </c>
      <c r="AD5" s="19">
        <v>55928594</v>
      </c>
      <c r="AE5" s="19">
        <v>61705576</v>
      </c>
      <c r="AF5" s="19">
        <v>66737740</v>
      </c>
      <c r="AG5" s="21">
        <v>91236649</v>
      </c>
    </row>
    <row r="6" spans="1:33" ht="27.6">
      <c r="A6" s="64" t="s">
        <v>49</v>
      </c>
      <c r="B6" s="12" t="s">
        <v>1</v>
      </c>
      <c r="C6" s="12" t="s">
        <v>1</v>
      </c>
      <c r="D6" s="12" t="s">
        <v>1</v>
      </c>
      <c r="E6" s="13" t="s">
        <v>1</v>
      </c>
      <c r="F6" s="12" t="s">
        <v>1</v>
      </c>
      <c r="G6" s="12">
        <v>1</v>
      </c>
      <c r="H6" s="12" t="s">
        <v>1</v>
      </c>
      <c r="I6" s="13" t="s">
        <v>1</v>
      </c>
      <c r="J6" s="12">
        <v>9427</v>
      </c>
      <c r="K6" s="12">
        <v>17131</v>
      </c>
      <c r="L6" s="12">
        <v>8276</v>
      </c>
      <c r="M6" s="13">
        <v>88</v>
      </c>
      <c r="N6" s="12">
        <v>1535</v>
      </c>
      <c r="O6" s="12">
        <v>983</v>
      </c>
      <c r="P6" s="12">
        <v>5339</v>
      </c>
      <c r="Q6" s="13">
        <v>6418</v>
      </c>
      <c r="R6" s="19">
        <v>4873212</v>
      </c>
      <c r="S6" s="19">
        <v>6716677</v>
      </c>
      <c r="T6" s="19">
        <v>8260775</v>
      </c>
      <c r="U6" s="20">
        <v>6852093</v>
      </c>
      <c r="V6" s="19">
        <v>7499187</v>
      </c>
      <c r="W6" s="19">
        <v>3978619</v>
      </c>
      <c r="X6" s="19">
        <v>4492268</v>
      </c>
      <c r="Y6" s="20">
        <v>4534625</v>
      </c>
      <c r="Z6" s="19">
        <v>4952092</v>
      </c>
      <c r="AA6" s="19">
        <v>5866306</v>
      </c>
      <c r="AB6" s="19">
        <v>6738255</v>
      </c>
      <c r="AC6" s="20">
        <v>7301865</v>
      </c>
      <c r="AD6" s="19">
        <v>8870895</v>
      </c>
      <c r="AE6" s="19">
        <v>8356178</v>
      </c>
      <c r="AF6" s="19">
        <v>7498604</v>
      </c>
      <c r="AG6" s="21">
        <v>6259215</v>
      </c>
    </row>
    <row r="7" spans="1:33">
      <c r="A7" s="64" t="s">
        <v>50</v>
      </c>
      <c r="B7" s="10">
        <v>2084718</v>
      </c>
      <c r="C7" s="10">
        <v>2731067</v>
      </c>
      <c r="D7" s="10">
        <v>3176813</v>
      </c>
      <c r="E7" s="11">
        <v>3215998</v>
      </c>
      <c r="F7" s="10">
        <v>3515574</v>
      </c>
      <c r="G7" s="10">
        <v>4281658</v>
      </c>
      <c r="H7" s="10">
        <v>4458748</v>
      </c>
      <c r="I7" s="11">
        <v>4104688</v>
      </c>
      <c r="J7" s="10">
        <v>4018692</v>
      </c>
      <c r="K7" s="10">
        <v>4122333</v>
      </c>
      <c r="L7" s="10">
        <v>3966774</v>
      </c>
      <c r="M7" s="11">
        <v>4424195</v>
      </c>
      <c r="N7" s="10">
        <v>4281171</v>
      </c>
      <c r="O7" s="10">
        <v>5060171</v>
      </c>
      <c r="P7" s="10">
        <v>4723298</v>
      </c>
      <c r="Q7" s="11">
        <v>5411969</v>
      </c>
      <c r="R7" s="19">
        <v>175871</v>
      </c>
      <c r="S7" s="19">
        <v>826957</v>
      </c>
      <c r="T7" s="19">
        <v>1163113</v>
      </c>
      <c r="U7" s="20">
        <v>771957</v>
      </c>
      <c r="V7" s="19">
        <v>537309</v>
      </c>
      <c r="W7" s="19">
        <v>890635</v>
      </c>
      <c r="X7" s="19">
        <v>270175</v>
      </c>
      <c r="Y7" s="20">
        <v>18237</v>
      </c>
      <c r="Z7" s="19">
        <v>20223</v>
      </c>
      <c r="AA7" s="19">
        <v>336942</v>
      </c>
      <c r="AB7" s="19">
        <v>1076162</v>
      </c>
      <c r="AC7" s="20">
        <v>2276453</v>
      </c>
      <c r="AD7" s="19">
        <v>1125611</v>
      </c>
      <c r="AE7" s="19">
        <v>76025</v>
      </c>
      <c r="AF7" s="19">
        <v>36983</v>
      </c>
      <c r="AG7" s="21">
        <v>1327</v>
      </c>
    </row>
    <row r="8" spans="1:33" ht="27.6">
      <c r="A8" s="64" t="s">
        <v>51</v>
      </c>
      <c r="B8" s="10">
        <v>450403</v>
      </c>
      <c r="C8" s="12" t="s">
        <v>1</v>
      </c>
      <c r="D8" s="10">
        <v>236208</v>
      </c>
      <c r="E8" s="11">
        <v>116740</v>
      </c>
      <c r="F8" s="10">
        <v>554967</v>
      </c>
      <c r="G8" s="10">
        <v>771634</v>
      </c>
      <c r="H8" s="10">
        <v>451153</v>
      </c>
      <c r="I8" s="11">
        <v>770959</v>
      </c>
      <c r="J8" s="10">
        <v>780138</v>
      </c>
      <c r="K8" s="10">
        <v>767656</v>
      </c>
      <c r="L8" s="10" t="s">
        <v>1</v>
      </c>
      <c r="M8" s="11">
        <v>492784</v>
      </c>
      <c r="N8" s="10" t="s">
        <v>1</v>
      </c>
      <c r="O8" s="10">
        <v>105000</v>
      </c>
      <c r="P8" s="10">
        <v>105000</v>
      </c>
      <c r="Q8" s="11">
        <v>340000</v>
      </c>
      <c r="R8" s="25" t="s">
        <v>1</v>
      </c>
      <c r="S8" s="25" t="s">
        <v>1</v>
      </c>
      <c r="T8" s="25" t="s">
        <v>1</v>
      </c>
      <c r="U8" s="26" t="s">
        <v>1</v>
      </c>
      <c r="V8" s="25" t="s">
        <v>1</v>
      </c>
      <c r="W8" s="25" t="s">
        <v>1</v>
      </c>
      <c r="X8" s="25" t="s">
        <v>1</v>
      </c>
      <c r="Y8" s="26" t="s">
        <v>1</v>
      </c>
      <c r="Z8" s="25" t="s">
        <v>1</v>
      </c>
      <c r="AA8" s="25" t="s">
        <v>1</v>
      </c>
      <c r="AB8" s="25" t="s">
        <v>1</v>
      </c>
      <c r="AC8" s="26" t="s">
        <v>1</v>
      </c>
      <c r="AD8" s="25" t="s">
        <v>1</v>
      </c>
      <c r="AE8" s="25" t="s">
        <v>1</v>
      </c>
      <c r="AF8" s="25" t="s">
        <v>1</v>
      </c>
      <c r="AG8" s="27" t="s">
        <v>1</v>
      </c>
    </row>
    <row r="9" spans="1:33" ht="27.6">
      <c r="A9" s="64" t="s">
        <v>52</v>
      </c>
      <c r="B9" s="12" t="s">
        <v>1</v>
      </c>
      <c r="C9" s="12" t="s">
        <v>1</v>
      </c>
      <c r="D9" s="12" t="s">
        <v>1</v>
      </c>
      <c r="E9" s="13" t="s">
        <v>1</v>
      </c>
      <c r="F9" s="12" t="s">
        <v>1</v>
      </c>
      <c r="G9" s="12" t="s">
        <v>1</v>
      </c>
      <c r="H9" s="12" t="s">
        <v>1</v>
      </c>
      <c r="I9" s="13" t="s">
        <v>1</v>
      </c>
      <c r="J9" s="12" t="s">
        <v>1</v>
      </c>
      <c r="K9" s="12" t="s">
        <v>1</v>
      </c>
      <c r="L9" s="12" t="s">
        <v>1</v>
      </c>
      <c r="M9" s="13" t="s">
        <v>1</v>
      </c>
      <c r="N9" s="12" t="s">
        <v>1</v>
      </c>
      <c r="O9" s="12" t="s">
        <v>1</v>
      </c>
      <c r="P9" s="12" t="s">
        <v>1</v>
      </c>
      <c r="Q9" s="13" t="s">
        <v>1</v>
      </c>
      <c r="R9" s="25" t="s">
        <v>1</v>
      </c>
      <c r="S9" s="25" t="s">
        <v>1</v>
      </c>
      <c r="T9" s="25" t="s">
        <v>1</v>
      </c>
      <c r="U9" s="26" t="s">
        <v>1</v>
      </c>
      <c r="V9" s="25" t="s">
        <v>1</v>
      </c>
      <c r="W9" s="25" t="s">
        <v>1</v>
      </c>
      <c r="X9" s="25" t="s">
        <v>1</v>
      </c>
      <c r="Y9" s="26" t="s">
        <v>1</v>
      </c>
      <c r="Z9" s="25" t="s">
        <v>1</v>
      </c>
      <c r="AA9" s="25" t="s">
        <v>1</v>
      </c>
      <c r="AB9" s="25" t="s">
        <v>1</v>
      </c>
      <c r="AC9" s="26" t="s">
        <v>1</v>
      </c>
      <c r="AD9" s="25" t="s">
        <v>1</v>
      </c>
      <c r="AE9" s="25" t="s">
        <v>1</v>
      </c>
      <c r="AF9" s="25" t="s">
        <v>1</v>
      </c>
      <c r="AG9" s="27" t="s">
        <v>1</v>
      </c>
    </row>
    <row r="10" spans="1:33" ht="27.6">
      <c r="A10" s="64" t="s">
        <v>53</v>
      </c>
      <c r="B10" s="10">
        <v>422236</v>
      </c>
      <c r="C10" s="10">
        <v>456378</v>
      </c>
      <c r="D10" s="10">
        <v>511796</v>
      </c>
      <c r="E10" s="11">
        <v>510172</v>
      </c>
      <c r="F10" s="10">
        <v>557542</v>
      </c>
      <c r="G10" s="10">
        <v>895948</v>
      </c>
      <c r="H10" s="10">
        <v>973065</v>
      </c>
      <c r="I10" s="11">
        <v>686386</v>
      </c>
      <c r="J10" s="10">
        <v>839886</v>
      </c>
      <c r="K10" s="10">
        <v>969674</v>
      </c>
      <c r="L10" s="10">
        <v>707240</v>
      </c>
      <c r="M10" s="11">
        <v>702359</v>
      </c>
      <c r="N10" s="10">
        <v>895064</v>
      </c>
      <c r="O10" s="10">
        <v>1101985</v>
      </c>
      <c r="P10" s="10">
        <v>664300</v>
      </c>
      <c r="Q10" s="11">
        <v>694104</v>
      </c>
      <c r="R10" s="25">
        <v>2583</v>
      </c>
      <c r="S10" s="25">
        <v>2234</v>
      </c>
      <c r="T10" s="25">
        <v>1600</v>
      </c>
      <c r="U10" s="26">
        <v>1545</v>
      </c>
      <c r="V10" s="25">
        <v>1127</v>
      </c>
      <c r="W10" s="25">
        <v>3032</v>
      </c>
      <c r="X10" s="25">
        <v>233</v>
      </c>
      <c r="Y10" s="26">
        <v>849</v>
      </c>
      <c r="Z10" s="25">
        <v>15212</v>
      </c>
      <c r="AA10" s="25">
        <v>9999</v>
      </c>
      <c r="AB10" s="25">
        <v>6181</v>
      </c>
      <c r="AC10" s="26">
        <v>142596</v>
      </c>
      <c r="AD10" s="25">
        <v>18894</v>
      </c>
      <c r="AE10" s="25">
        <v>3316</v>
      </c>
      <c r="AF10" s="25">
        <v>7079</v>
      </c>
      <c r="AG10" s="27">
        <v>187254</v>
      </c>
    </row>
    <row r="11" spans="1:33">
      <c r="A11" s="64" t="s">
        <v>54</v>
      </c>
      <c r="B11" s="12" t="s">
        <v>1</v>
      </c>
      <c r="C11" s="12" t="s">
        <v>1</v>
      </c>
      <c r="D11" s="12" t="s">
        <v>1</v>
      </c>
      <c r="E11" s="13" t="s">
        <v>1</v>
      </c>
      <c r="F11" s="12" t="s">
        <v>1</v>
      </c>
      <c r="G11" s="12" t="s">
        <v>1</v>
      </c>
      <c r="H11" s="12" t="s">
        <v>1</v>
      </c>
      <c r="I11" s="13" t="s">
        <v>1</v>
      </c>
      <c r="J11" s="12" t="s">
        <v>1</v>
      </c>
      <c r="K11" s="12" t="s">
        <v>1</v>
      </c>
      <c r="L11" s="12" t="s">
        <v>1</v>
      </c>
      <c r="M11" s="13" t="s">
        <v>1</v>
      </c>
      <c r="N11" s="12" t="s">
        <v>1</v>
      </c>
      <c r="O11" s="12" t="s">
        <v>1</v>
      </c>
      <c r="P11" s="12" t="s">
        <v>1</v>
      </c>
      <c r="Q11" s="13" t="s">
        <v>1</v>
      </c>
      <c r="R11" s="25" t="s">
        <v>1</v>
      </c>
      <c r="S11" s="25" t="s">
        <v>1</v>
      </c>
      <c r="T11" s="25" t="s">
        <v>1</v>
      </c>
      <c r="U11" s="26" t="s">
        <v>1</v>
      </c>
      <c r="V11" s="28">
        <v>285299</v>
      </c>
      <c r="W11" s="28">
        <v>287602</v>
      </c>
      <c r="X11" s="28">
        <v>302958</v>
      </c>
      <c r="Y11" s="29">
        <v>300660</v>
      </c>
      <c r="Z11" s="28">
        <v>306545</v>
      </c>
      <c r="AA11" s="28">
        <v>319475</v>
      </c>
      <c r="AB11" s="28">
        <v>324353</v>
      </c>
      <c r="AC11" s="29">
        <v>328395</v>
      </c>
      <c r="AD11" s="28">
        <v>336189</v>
      </c>
      <c r="AE11" s="28">
        <v>333130</v>
      </c>
      <c r="AF11" s="28">
        <v>333747</v>
      </c>
      <c r="AG11" s="30">
        <v>349614</v>
      </c>
    </row>
    <row r="12" spans="1:33">
      <c r="A12" s="64" t="s">
        <v>55</v>
      </c>
      <c r="B12" s="12" t="s">
        <v>1</v>
      </c>
      <c r="C12" s="12" t="s">
        <v>1</v>
      </c>
      <c r="D12" s="12" t="s">
        <v>1</v>
      </c>
      <c r="E12" s="13" t="s">
        <v>1</v>
      </c>
      <c r="F12" s="12" t="s">
        <v>1</v>
      </c>
      <c r="G12" s="12" t="s">
        <v>1</v>
      </c>
      <c r="H12" s="12" t="s">
        <v>1</v>
      </c>
      <c r="I12" s="13" t="s">
        <v>1</v>
      </c>
      <c r="J12" s="12" t="s">
        <v>1</v>
      </c>
      <c r="K12" s="12" t="s">
        <v>1</v>
      </c>
      <c r="L12" s="12" t="s">
        <v>1</v>
      </c>
      <c r="M12" s="13" t="s">
        <v>1</v>
      </c>
      <c r="N12" s="12" t="s">
        <v>1</v>
      </c>
      <c r="O12" s="12" t="s">
        <v>1</v>
      </c>
      <c r="P12" s="12" t="s">
        <v>1</v>
      </c>
      <c r="Q12" s="13" t="s">
        <v>1</v>
      </c>
      <c r="R12" s="19">
        <v>76032</v>
      </c>
      <c r="S12" s="19">
        <v>84297</v>
      </c>
      <c r="T12" s="19">
        <v>82223</v>
      </c>
      <c r="U12" s="20">
        <v>90271</v>
      </c>
      <c r="V12" s="19">
        <v>102841</v>
      </c>
      <c r="W12" s="19">
        <v>111035</v>
      </c>
      <c r="X12" s="19">
        <v>109504</v>
      </c>
      <c r="Y12" s="20">
        <v>134752</v>
      </c>
      <c r="Z12" s="19">
        <v>145449</v>
      </c>
      <c r="AA12" s="19">
        <v>170128</v>
      </c>
      <c r="AB12" s="19">
        <v>156755</v>
      </c>
      <c r="AC12" s="20">
        <v>201243</v>
      </c>
      <c r="AD12" s="19">
        <v>194706</v>
      </c>
      <c r="AE12" s="19">
        <v>207872</v>
      </c>
      <c r="AF12" s="19">
        <v>205899</v>
      </c>
      <c r="AG12" s="21">
        <v>312078</v>
      </c>
    </row>
    <row r="13" spans="1:33" ht="27.6">
      <c r="A13" s="64" t="s">
        <v>56</v>
      </c>
      <c r="B13" s="12" t="s">
        <v>1</v>
      </c>
      <c r="C13" s="12" t="s">
        <v>1</v>
      </c>
      <c r="D13" s="12" t="s">
        <v>1</v>
      </c>
      <c r="E13" s="13" t="s">
        <v>1</v>
      </c>
      <c r="F13" s="12" t="s">
        <v>1</v>
      </c>
      <c r="G13" s="12" t="s">
        <v>1</v>
      </c>
      <c r="H13" s="12" t="s">
        <v>1</v>
      </c>
      <c r="I13" s="13" t="s">
        <v>1</v>
      </c>
      <c r="J13" s="12" t="s">
        <v>1</v>
      </c>
      <c r="K13" s="12" t="s">
        <v>1</v>
      </c>
      <c r="L13" s="12" t="s">
        <v>1</v>
      </c>
      <c r="M13" s="13" t="s">
        <v>1</v>
      </c>
      <c r="N13" s="12" t="s">
        <v>1</v>
      </c>
      <c r="O13" s="12" t="s">
        <v>1</v>
      </c>
      <c r="P13" s="12" t="s">
        <v>1</v>
      </c>
      <c r="Q13" s="13" t="s">
        <v>1</v>
      </c>
      <c r="R13" s="19">
        <v>47885</v>
      </c>
      <c r="S13" s="19">
        <v>50824</v>
      </c>
      <c r="T13" s="19">
        <v>59912</v>
      </c>
      <c r="U13" s="20">
        <v>56222</v>
      </c>
      <c r="V13" s="19">
        <v>60726</v>
      </c>
      <c r="W13" s="19">
        <v>74325</v>
      </c>
      <c r="X13" s="19">
        <v>69568</v>
      </c>
      <c r="Y13" s="20">
        <v>72958</v>
      </c>
      <c r="Z13" s="19">
        <v>60130</v>
      </c>
      <c r="AA13" s="19">
        <v>68606</v>
      </c>
      <c r="AB13" s="19">
        <v>72667</v>
      </c>
      <c r="AC13" s="20">
        <v>82968</v>
      </c>
      <c r="AD13" s="19">
        <v>91273</v>
      </c>
      <c r="AE13" s="19">
        <v>63171</v>
      </c>
      <c r="AF13" s="19">
        <v>68002</v>
      </c>
      <c r="AG13" s="21">
        <v>117218</v>
      </c>
    </row>
    <row r="14" spans="1:33">
      <c r="A14" s="64" t="s">
        <v>57</v>
      </c>
      <c r="B14" s="10">
        <v>197875</v>
      </c>
      <c r="C14" s="10">
        <v>211703</v>
      </c>
      <c r="D14" s="10">
        <v>223680</v>
      </c>
      <c r="E14" s="11">
        <v>232824</v>
      </c>
      <c r="F14" s="10">
        <v>244157</v>
      </c>
      <c r="G14" s="10">
        <v>258039</v>
      </c>
      <c r="H14" s="10">
        <v>253812</v>
      </c>
      <c r="I14" s="11">
        <v>251859</v>
      </c>
      <c r="J14" s="10">
        <v>266708</v>
      </c>
      <c r="K14" s="10">
        <v>279215</v>
      </c>
      <c r="L14" s="10">
        <v>261994</v>
      </c>
      <c r="M14" s="11">
        <v>233849</v>
      </c>
      <c r="N14" s="10">
        <v>251411</v>
      </c>
      <c r="O14" s="10">
        <v>235562</v>
      </c>
      <c r="P14" s="10">
        <v>234574</v>
      </c>
      <c r="Q14" s="11">
        <v>264820</v>
      </c>
      <c r="R14" s="25" t="s">
        <v>1</v>
      </c>
      <c r="S14" s="25" t="s">
        <v>1</v>
      </c>
      <c r="T14" s="25" t="s">
        <v>1</v>
      </c>
      <c r="U14" s="26" t="s">
        <v>1</v>
      </c>
      <c r="V14" s="25" t="s">
        <v>1</v>
      </c>
      <c r="W14" s="25" t="s">
        <v>1</v>
      </c>
      <c r="X14" s="25" t="s">
        <v>1</v>
      </c>
      <c r="Y14" s="26" t="s">
        <v>1</v>
      </c>
      <c r="Z14" s="25" t="s">
        <v>1</v>
      </c>
      <c r="AA14" s="25" t="s">
        <v>1</v>
      </c>
      <c r="AB14" s="25" t="s">
        <v>1</v>
      </c>
      <c r="AC14" s="26" t="s">
        <v>1</v>
      </c>
      <c r="AD14" s="25" t="s">
        <v>1</v>
      </c>
      <c r="AE14" s="25" t="s">
        <v>1</v>
      </c>
      <c r="AF14" s="25" t="s">
        <v>1</v>
      </c>
      <c r="AG14" s="27" t="s">
        <v>1</v>
      </c>
    </row>
    <row r="15" spans="1:33" ht="27.6">
      <c r="A15" s="64" t="s">
        <v>58</v>
      </c>
      <c r="B15" s="10">
        <v>40361</v>
      </c>
      <c r="C15" s="10">
        <v>38457</v>
      </c>
      <c r="D15" s="10">
        <v>44167</v>
      </c>
      <c r="E15" s="11">
        <v>64119</v>
      </c>
      <c r="F15" s="10">
        <v>55111</v>
      </c>
      <c r="G15" s="10">
        <v>60918</v>
      </c>
      <c r="H15" s="10">
        <v>51183</v>
      </c>
      <c r="I15" s="11">
        <v>58458</v>
      </c>
      <c r="J15" s="10">
        <v>64638</v>
      </c>
      <c r="K15" s="10">
        <v>50586</v>
      </c>
      <c r="L15" s="10">
        <v>40270</v>
      </c>
      <c r="M15" s="11">
        <v>51799</v>
      </c>
      <c r="N15" s="10">
        <v>48440</v>
      </c>
      <c r="O15" s="10">
        <v>53396</v>
      </c>
      <c r="P15" s="10">
        <v>38665</v>
      </c>
      <c r="Q15" s="11">
        <v>93257</v>
      </c>
      <c r="R15" s="31" t="s">
        <v>1</v>
      </c>
      <c r="S15" s="31" t="s">
        <v>1</v>
      </c>
      <c r="T15" s="31" t="s">
        <v>1</v>
      </c>
      <c r="U15" s="26" t="s">
        <v>1</v>
      </c>
      <c r="V15" s="31" t="s">
        <v>1</v>
      </c>
      <c r="W15" s="31" t="s">
        <v>1</v>
      </c>
      <c r="X15" s="31" t="s">
        <v>1</v>
      </c>
      <c r="Y15" s="26" t="s">
        <v>1</v>
      </c>
      <c r="Z15" s="31" t="s">
        <v>1</v>
      </c>
      <c r="AA15" s="31" t="s">
        <v>1</v>
      </c>
      <c r="AB15" s="31" t="s">
        <v>1</v>
      </c>
      <c r="AC15" s="26" t="s">
        <v>1</v>
      </c>
      <c r="AD15" s="31" t="s">
        <v>1</v>
      </c>
      <c r="AE15" s="31" t="s">
        <v>1</v>
      </c>
      <c r="AF15" s="31" t="s">
        <v>1</v>
      </c>
      <c r="AG15" s="27" t="s">
        <v>1</v>
      </c>
    </row>
    <row r="16" spans="1:33" ht="27.6">
      <c r="A16" s="64" t="s">
        <v>60</v>
      </c>
      <c r="B16" s="22" t="s">
        <v>1</v>
      </c>
      <c r="C16" s="22" t="s">
        <v>1</v>
      </c>
      <c r="D16" s="22" t="s">
        <v>1</v>
      </c>
      <c r="E16" s="13" t="s">
        <v>1</v>
      </c>
      <c r="F16" s="22" t="s">
        <v>1</v>
      </c>
      <c r="G16" s="22" t="s">
        <v>1</v>
      </c>
      <c r="H16" s="22" t="s">
        <v>1</v>
      </c>
      <c r="I16" s="13" t="s">
        <v>1</v>
      </c>
      <c r="J16" s="22" t="s">
        <v>1</v>
      </c>
      <c r="K16" s="22" t="s">
        <v>1</v>
      </c>
      <c r="L16" s="22" t="s">
        <v>1</v>
      </c>
      <c r="M16" s="13" t="s">
        <v>1</v>
      </c>
      <c r="N16" s="22" t="s">
        <v>1</v>
      </c>
      <c r="O16" s="22" t="s">
        <v>1</v>
      </c>
      <c r="P16" s="22" t="s">
        <v>1</v>
      </c>
      <c r="Q16" s="13" t="s">
        <v>1</v>
      </c>
      <c r="R16" s="19">
        <v>1736826</v>
      </c>
      <c r="S16" s="19">
        <v>1040268</v>
      </c>
      <c r="T16" s="19">
        <v>1401743</v>
      </c>
      <c r="U16" s="20">
        <v>1204297</v>
      </c>
      <c r="V16" s="19">
        <v>1313437</v>
      </c>
      <c r="W16" s="19">
        <v>1316303</v>
      </c>
      <c r="X16" s="19">
        <v>1324568</v>
      </c>
      <c r="Y16" s="20">
        <v>1375164</v>
      </c>
      <c r="Z16" s="19">
        <v>1570684</v>
      </c>
      <c r="AA16" s="19">
        <v>1596685</v>
      </c>
      <c r="AB16" s="19">
        <v>1852099</v>
      </c>
      <c r="AC16" s="20">
        <v>1732562</v>
      </c>
      <c r="AD16" s="19">
        <v>1977544</v>
      </c>
      <c r="AE16" s="19">
        <v>2039052</v>
      </c>
      <c r="AF16" s="19">
        <v>2135430</v>
      </c>
      <c r="AG16" s="21">
        <v>3119354</v>
      </c>
    </row>
    <row r="17" spans="1:33">
      <c r="A17" s="60" t="s">
        <v>59</v>
      </c>
      <c r="B17" s="10">
        <v>441236</v>
      </c>
      <c r="C17" s="10">
        <v>424800</v>
      </c>
      <c r="D17" s="10">
        <v>469032</v>
      </c>
      <c r="E17" s="11">
        <v>472426</v>
      </c>
      <c r="F17" s="10">
        <v>531545</v>
      </c>
      <c r="G17" s="10">
        <v>536190</v>
      </c>
      <c r="H17" s="10">
        <v>618913</v>
      </c>
      <c r="I17" s="11">
        <v>1239557</v>
      </c>
      <c r="J17" s="10">
        <v>1224048</v>
      </c>
      <c r="K17" s="10">
        <v>1218580</v>
      </c>
      <c r="L17" s="10">
        <v>1318291</v>
      </c>
      <c r="M17" s="11">
        <v>1510937</v>
      </c>
      <c r="N17" s="10">
        <v>1598144</v>
      </c>
      <c r="O17" s="10">
        <v>1511792</v>
      </c>
      <c r="P17" s="10">
        <v>1563245</v>
      </c>
      <c r="Q17" s="11">
        <v>1627163</v>
      </c>
      <c r="R17" s="19">
        <v>912759</v>
      </c>
      <c r="S17" s="19">
        <v>742331</v>
      </c>
      <c r="T17" s="19">
        <v>913197</v>
      </c>
      <c r="U17" s="20">
        <v>1362343</v>
      </c>
      <c r="V17" s="19">
        <v>909136</v>
      </c>
      <c r="W17" s="19">
        <v>891208</v>
      </c>
      <c r="X17" s="19">
        <v>1698567</v>
      </c>
      <c r="Y17" s="20">
        <v>1363786</v>
      </c>
      <c r="Z17" s="19">
        <v>1424256</v>
      </c>
      <c r="AA17" s="19">
        <v>1601031</v>
      </c>
      <c r="AB17" s="20">
        <v>1837626</v>
      </c>
      <c r="AC17" s="20">
        <v>1592366</v>
      </c>
      <c r="AD17" s="19">
        <v>2022667</v>
      </c>
      <c r="AE17" s="19">
        <v>2174266</v>
      </c>
      <c r="AF17" s="19">
        <v>2648075</v>
      </c>
      <c r="AG17" s="21">
        <v>2745561</v>
      </c>
    </row>
    <row r="18" spans="1:33">
      <c r="A18" s="57" t="s">
        <v>61</v>
      </c>
      <c r="B18" s="4">
        <f t="shared" ref="B18:AG18" si="0">SUM(B5:B17)</f>
        <v>16278597</v>
      </c>
      <c r="C18" s="4">
        <f t="shared" si="0"/>
        <v>17534033</v>
      </c>
      <c r="D18" s="4">
        <f t="shared" si="0"/>
        <v>20060836</v>
      </c>
      <c r="E18" s="5">
        <f t="shared" si="0"/>
        <v>21255497</v>
      </c>
      <c r="F18" s="4">
        <f t="shared" si="0"/>
        <v>23002943</v>
      </c>
      <c r="G18" s="4">
        <f t="shared" si="0"/>
        <v>25151984</v>
      </c>
      <c r="H18" s="4">
        <f t="shared" si="0"/>
        <v>27244605</v>
      </c>
      <c r="I18" s="5">
        <f t="shared" si="0"/>
        <v>27458085</v>
      </c>
      <c r="J18" s="4">
        <f t="shared" si="0"/>
        <v>26697280</v>
      </c>
      <c r="K18" s="4">
        <f t="shared" si="0"/>
        <v>27191776</v>
      </c>
      <c r="L18" s="4">
        <f t="shared" si="0"/>
        <v>26411426</v>
      </c>
      <c r="M18" s="5">
        <f t="shared" si="0"/>
        <v>30571145</v>
      </c>
      <c r="N18" s="4">
        <f t="shared" si="0"/>
        <v>30743571</v>
      </c>
      <c r="O18" s="4">
        <f t="shared" si="0"/>
        <v>31839691</v>
      </c>
      <c r="P18" s="4">
        <f t="shared" si="0"/>
        <v>31443665</v>
      </c>
      <c r="Q18" s="5">
        <f t="shared" si="0"/>
        <v>33747571</v>
      </c>
      <c r="R18" s="4">
        <f t="shared" si="0"/>
        <v>33924047</v>
      </c>
      <c r="S18" s="4">
        <f t="shared" si="0"/>
        <v>37174880</v>
      </c>
      <c r="T18" s="4">
        <f t="shared" si="0"/>
        <v>41212128</v>
      </c>
      <c r="U18" s="5">
        <f t="shared" si="0"/>
        <v>38962201</v>
      </c>
      <c r="V18" s="4">
        <f t="shared" si="0"/>
        <v>41336801</v>
      </c>
      <c r="W18" s="4">
        <f t="shared" si="0"/>
        <v>40597957</v>
      </c>
      <c r="X18" s="4">
        <f t="shared" si="0"/>
        <v>43061787</v>
      </c>
      <c r="Y18" s="5">
        <f t="shared" si="0"/>
        <v>47570439</v>
      </c>
      <c r="Z18" s="4">
        <f t="shared" si="0"/>
        <v>51771595</v>
      </c>
      <c r="AA18" s="4">
        <f t="shared" si="0"/>
        <v>55535502</v>
      </c>
      <c r="AB18" s="4">
        <f t="shared" si="0"/>
        <v>64422583</v>
      </c>
      <c r="AC18" s="5">
        <f t="shared" si="0"/>
        <v>65271572</v>
      </c>
      <c r="AD18" s="4">
        <f t="shared" si="0"/>
        <v>70566373</v>
      </c>
      <c r="AE18" s="4">
        <f t="shared" si="0"/>
        <v>74958586</v>
      </c>
      <c r="AF18" s="4">
        <f t="shared" si="0"/>
        <v>79671559</v>
      </c>
      <c r="AG18" s="6">
        <f t="shared" si="0"/>
        <v>104328270</v>
      </c>
    </row>
    <row r="19" spans="1:33" s="54" customFormat="1">
      <c r="A19" s="65" t="s">
        <v>45</v>
      </c>
      <c r="B19" s="35">
        <v>17809891</v>
      </c>
      <c r="C19" s="35">
        <v>19133616</v>
      </c>
      <c r="D19" s="35">
        <v>21720609</v>
      </c>
      <c r="E19" s="36">
        <v>23046424</v>
      </c>
      <c r="F19" s="35">
        <v>24817480</v>
      </c>
      <c r="G19" s="35">
        <v>27045666</v>
      </c>
      <c r="H19" s="35">
        <v>29213433</v>
      </c>
      <c r="I19" s="36">
        <v>29561999</v>
      </c>
      <c r="J19" s="35">
        <v>28810563</v>
      </c>
      <c r="K19" s="35">
        <v>29363727</v>
      </c>
      <c r="L19" s="35">
        <v>28632535</v>
      </c>
      <c r="M19" s="36">
        <v>32850738</v>
      </c>
      <c r="N19" s="35">
        <v>33021316</v>
      </c>
      <c r="O19" s="35">
        <v>34216581</v>
      </c>
      <c r="P19" s="35">
        <v>33826640</v>
      </c>
      <c r="Q19" s="36">
        <v>36229077</v>
      </c>
      <c r="R19" s="35">
        <v>37084452</v>
      </c>
      <c r="S19" s="35">
        <v>40456410</v>
      </c>
      <c r="T19" s="35">
        <v>44711876</v>
      </c>
      <c r="U19" s="36">
        <v>42223652</v>
      </c>
      <c r="V19" s="35">
        <v>44593923</v>
      </c>
      <c r="W19" s="35">
        <v>43885740</v>
      </c>
      <c r="X19" s="35">
        <v>46295214</v>
      </c>
      <c r="Y19" s="36">
        <v>51392368</v>
      </c>
      <c r="Z19" s="35">
        <v>55551997</v>
      </c>
      <c r="AA19" s="35">
        <v>59456144</v>
      </c>
      <c r="AB19" s="35">
        <v>68394784</v>
      </c>
      <c r="AC19" s="36">
        <v>69315799</v>
      </c>
      <c r="AD19" s="35">
        <v>74657850</v>
      </c>
      <c r="AE19" s="35">
        <v>79049139</v>
      </c>
      <c r="AF19" s="35">
        <v>83732266</v>
      </c>
      <c r="AG19" s="37">
        <v>108955123</v>
      </c>
    </row>
    <row r="20" spans="1:33" s="33" customFormat="1">
      <c r="A20" s="66" t="s">
        <v>40</v>
      </c>
      <c r="B20" s="23">
        <f t="shared" ref="B20:AG20" si="1">B18+B4</f>
        <v>17809891</v>
      </c>
      <c r="C20" s="23">
        <f t="shared" si="1"/>
        <v>19133616</v>
      </c>
      <c r="D20" s="23">
        <f t="shared" si="1"/>
        <v>21720609</v>
      </c>
      <c r="E20" s="24">
        <f t="shared" si="1"/>
        <v>23046424</v>
      </c>
      <c r="F20" s="23">
        <f t="shared" si="1"/>
        <v>24817480</v>
      </c>
      <c r="G20" s="23">
        <f t="shared" si="1"/>
        <v>27045666</v>
      </c>
      <c r="H20" s="23">
        <f t="shared" si="1"/>
        <v>29213433</v>
      </c>
      <c r="I20" s="24">
        <f t="shared" si="1"/>
        <v>29561999</v>
      </c>
      <c r="J20" s="23">
        <f t="shared" si="1"/>
        <v>28810563</v>
      </c>
      <c r="K20" s="23">
        <f t="shared" si="1"/>
        <v>29363727</v>
      </c>
      <c r="L20" s="23">
        <f t="shared" si="1"/>
        <v>28632535</v>
      </c>
      <c r="M20" s="24">
        <f t="shared" si="1"/>
        <v>32850738</v>
      </c>
      <c r="N20" s="23">
        <f t="shared" si="1"/>
        <v>33021316</v>
      </c>
      <c r="O20" s="23">
        <f t="shared" si="1"/>
        <v>34216581</v>
      </c>
      <c r="P20" s="23">
        <f t="shared" si="1"/>
        <v>33826640</v>
      </c>
      <c r="Q20" s="24">
        <f t="shared" si="1"/>
        <v>36229077</v>
      </c>
      <c r="R20" s="23">
        <f t="shared" si="1"/>
        <v>37084452</v>
      </c>
      <c r="S20" s="23">
        <f t="shared" si="1"/>
        <v>40456410</v>
      </c>
      <c r="T20" s="23">
        <f t="shared" si="1"/>
        <v>44711876</v>
      </c>
      <c r="U20" s="24">
        <f t="shared" si="1"/>
        <v>42223652</v>
      </c>
      <c r="V20" s="23">
        <f t="shared" si="1"/>
        <v>44593923</v>
      </c>
      <c r="W20" s="23">
        <f t="shared" si="1"/>
        <v>43885740</v>
      </c>
      <c r="X20" s="23">
        <f t="shared" si="1"/>
        <v>46295214</v>
      </c>
      <c r="Y20" s="24">
        <f t="shared" si="1"/>
        <v>51392368</v>
      </c>
      <c r="Z20" s="23">
        <f t="shared" si="1"/>
        <v>55551997</v>
      </c>
      <c r="AA20" s="23">
        <f t="shared" si="1"/>
        <v>59456144</v>
      </c>
      <c r="AB20" s="23">
        <f t="shared" si="1"/>
        <v>68394784</v>
      </c>
      <c r="AC20" s="24">
        <f t="shared" si="1"/>
        <v>69315799</v>
      </c>
      <c r="AD20" s="23">
        <f t="shared" si="1"/>
        <v>74657850</v>
      </c>
      <c r="AE20" s="23">
        <f t="shared" si="1"/>
        <v>79049139</v>
      </c>
      <c r="AF20" s="23">
        <f t="shared" si="1"/>
        <v>83732266</v>
      </c>
      <c r="AG20" s="32">
        <f t="shared" si="1"/>
        <v>108955123</v>
      </c>
    </row>
    <row r="21" spans="1:33" s="33" customFormat="1" ht="20.399999999999999">
      <c r="A21" s="82" t="s">
        <v>136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</row>
    <row r="22" spans="1:33">
      <c r="A22" s="79" t="s">
        <v>62</v>
      </c>
      <c r="B22" s="2">
        <f t="shared" ref="B22:AG22" si="2">B4/B19*100</f>
        <v>8.5979975958303179</v>
      </c>
      <c r="C22" s="2">
        <f t="shared" si="2"/>
        <v>8.3600663878693915</v>
      </c>
      <c r="D22" s="2">
        <f t="shared" si="2"/>
        <v>7.6414662222408225</v>
      </c>
      <c r="E22" s="17">
        <f t="shared" si="2"/>
        <v>7.7709539666544369</v>
      </c>
      <c r="F22" s="2">
        <f t="shared" si="2"/>
        <v>7.3115280036490411</v>
      </c>
      <c r="G22" s="2">
        <f t="shared" si="2"/>
        <v>7.0017946683213497</v>
      </c>
      <c r="H22" s="2">
        <f t="shared" si="2"/>
        <v>6.7394612608521571</v>
      </c>
      <c r="I22" s="17">
        <f t="shared" si="2"/>
        <v>7.1169544387035533</v>
      </c>
      <c r="J22" s="2">
        <f t="shared" si="2"/>
        <v>7.335097894477105</v>
      </c>
      <c r="K22" s="2">
        <f t="shared" si="2"/>
        <v>7.3967143203585843</v>
      </c>
      <c r="L22" s="2">
        <f t="shared" si="2"/>
        <v>7.7572907882588806</v>
      </c>
      <c r="M22" s="17">
        <f t="shared" si="2"/>
        <v>6.939244409060155</v>
      </c>
      <c r="N22" s="2">
        <f t="shared" si="2"/>
        <v>6.8978020137053289</v>
      </c>
      <c r="O22" s="2">
        <f t="shared" si="2"/>
        <v>6.9466028765410552</v>
      </c>
      <c r="P22" s="2">
        <f t="shared" si="2"/>
        <v>7.044669526739872</v>
      </c>
      <c r="Q22" s="17">
        <f t="shared" si="2"/>
        <v>6.8494872226526784</v>
      </c>
      <c r="R22" s="2">
        <f t="shared" si="2"/>
        <v>8.5221833667651339</v>
      </c>
      <c r="S22" s="2">
        <f t="shared" si="2"/>
        <v>8.1112733433342203</v>
      </c>
      <c r="T22" s="2">
        <f t="shared" si="2"/>
        <v>7.8273342858617703</v>
      </c>
      <c r="U22" s="17">
        <f t="shared" si="2"/>
        <v>7.7242276437859996</v>
      </c>
      <c r="V22" s="2">
        <f t="shared" si="2"/>
        <v>7.3039593309608577</v>
      </c>
      <c r="W22" s="2">
        <f t="shared" si="2"/>
        <v>7.4916886441928527</v>
      </c>
      <c r="X22" s="2">
        <f t="shared" si="2"/>
        <v>6.9843655977051968</v>
      </c>
      <c r="Y22" s="17">
        <f t="shared" si="2"/>
        <v>7.4367637622769198</v>
      </c>
      <c r="Z22" s="2">
        <f t="shared" si="2"/>
        <v>6.8051594976864651</v>
      </c>
      <c r="AA22" s="2">
        <f t="shared" si="2"/>
        <v>6.5941746911807808</v>
      </c>
      <c r="AB22" s="2">
        <f t="shared" si="2"/>
        <v>5.8077542872275174</v>
      </c>
      <c r="AC22" s="17">
        <f t="shared" si="2"/>
        <v>5.8344952497770386</v>
      </c>
      <c r="AD22" s="2">
        <f t="shared" si="2"/>
        <v>5.4803038126600212</v>
      </c>
      <c r="AE22" s="2">
        <f t="shared" si="2"/>
        <v>5.1746964631708385</v>
      </c>
      <c r="AF22" s="2">
        <f t="shared" si="2"/>
        <v>4.8496322791503097</v>
      </c>
      <c r="AG22" s="17">
        <f t="shared" si="2"/>
        <v>4.2465676441850286</v>
      </c>
    </row>
    <row r="23" spans="1:33">
      <c r="A23" s="79" t="s">
        <v>46</v>
      </c>
      <c r="B23" s="2">
        <f t="shared" ref="B23:AG23" si="3">B18/B4</f>
        <v>10.630615022327522</v>
      </c>
      <c r="C23" s="2">
        <f t="shared" si="3"/>
        <v>10.961627499166971</v>
      </c>
      <c r="D23" s="2">
        <f t="shared" si="3"/>
        <v>12.08649375547138</v>
      </c>
      <c r="E23" s="17">
        <f t="shared" si="3"/>
        <v>11.868432940036081</v>
      </c>
      <c r="F23" s="2">
        <f t="shared" si="3"/>
        <v>12.677031661520267</v>
      </c>
      <c r="G23" s="2">
        <f t="shared" si="3"/>
        <v>13.282052636081454</v>
      </c>
      <c r="H23" s="2">
        <f t="shared" si="3"/>
        <v>13.837981276170392</v>
      </c>
      <c r="I23" s="17">
        <f t="shared" si="3"/>
        <v>13.050954078921476</v>
      </c>
      <c r="J23" s="2">
        <f t="shared" si="3"/>
        <v>12.633083216966208</v>
      </c>
      <c r="K23" s="2">
        <f t="shared" si="3"/>
        <v>12.5195163242633</v>
      </c>
      <c r="L23" s="2">
        <f t="shared" si="3"/>
        <v>11.891098545816527</v>
      </c>
      <c r="M23" s="17">
        <f t="shared" si="3"/>
        <v>13.410790873634021</v>
      </c>
      <c r="N23" s="2">
        <f t="shared" si="3"/>
        <v>13.497371742666541</v>
      </c>
      <c r="O23" s="2">
        <f t="shared" si="3"/>
        <v>13.395525665891144</v>
      </c>
      <c r="P23" s="2">
        <f t="shared" si="3"/>
        <v>13.19513003703354</v>
      </c>
      <c r="Q23" s="17">
        <f t="shared" si="3"/>
        <v>13.599633045416775</v>
      </c>
      <c r="R23" s="2">
        <f t="shared" si="3"/>
        <v>10.734082182505091</v>
      </c>
      <c r="S23" s="2">
        <f t="shared" si="3"/>
        <v>11.328520537676024</v>
      </c>
      <c r="T23" s="2">
        <f t="shared" si="3"/>
        <v>11.775741567678587</v>
      </c>
      <c r="U23" s="17">
        <f t="shared" si="3"/>
        <v>11.94627820562075</v>
      </c>
      <c r="V23" s="2">
        <f t="shared" si="3"/>
        <v>12.691204382273677</v>
      </c>
      <c r="W23" s="2">
        <f t="shared" si="3"/>
        <v>12.348125469351231</v>
      </c>
      <c r="X23" s="2">
        <f t="shared" si="3"/>
        <v>13.317692652408729</v>
      </c>
      <c r="Y23" s="17">
        <f t="shared" si="3"/>
        <v>12.446709240281544</v>
      </c>
      <c r="Z23" s="2">
        <f t="shared" si="3"/>
        <v>13.694732729482208</v>
      </c>
      <c r="AA23" s="2">
        <f t="shared" si="3"/>
        <v>14.164900034229088</v>
      </c>
      <c r="AB23" s="2">
        <f t="shared" si="3"/>
        <v>16.218359292493002</v>
      </c>
      <c r="AC23" s="17">
        <f t="shared" si="3"/>
        <v>16.13944321127375</v>
      </c>
      <c r="AD23" s="2">
        <f t="shared" si="3"/>
        <v>17.247163554872728</v>
      </c>
      <c r="AE23" s="2">
        <f t="shared" si="3"/>
        <v>18.32480498358046</v>
      </c>
      <c r="AF23" s="2">
        <f t="shared" si="3"/>
        <v>19.620120092387854</v>
      </c>
      <c r="AG23" s="17">
        <f t="shared" si="3"/>
        <v>22.548429785860929</v>
      </c>
    </row>
    <row r="24" spans="1:33">
      <c r="A24" s="79" t="s">
        <v>47</v>
      </c>
      <c r="B24" s="2">
        <f t="shared" ref="B24:AG24" si="4">B19/B4</f>
        <v>11.630615022327522</v>
      </c>
      <c r="C24" s="2">
        <f t="shared" si="4"/>
        <v>11.961627499166971</v>
      </c>
      <c r="D24" s="2">
        <f t="shared" si="4"/>
        <v>13.08649375547138</v>
      </c>
      <c r="E24" s="17">
        <f t="shared" si="4"/>
        <v>12.868432940036081</v>
      </c>
      <c r="F24" s="2">
        <f t="shared" si="4"/>
        <v>13.677031661520267</v>
      </c>
      <c r="G24" s="2">
        <f t="shared" si="4"/>
        <v>14.282052636081454</v>
      </c>
      <c r="H24" s="2">
        <f t="shared" si="4"/>
        <v>14.837981276170392</v>
      </c>
      <c r="I24" s="17">
        <f t="shared" si="4"/>
        <v>14.050954078921476</v>
      </c>
      <c r="J24" s="2">
        <f t="shared" si="4"/>
        <v>13.633083216966208</v>
      </c>
      <c r="K24" s="2">
        <f t="shared" si="4"/>
        <v>13.5195163242633</v>
      </c>
      <c r="L24" s="2">
        <f t="shared" si="4"/>
        <v>12.891098545816527</v>
      </c>
      <c r="M24" s="17">
        <f t="shared" si="4"/>
        <v>14.410790873634021</v>
      </c>
      <c r="N24" s="2">
        <f t="shared" si="4"/>
        <v>14.497371742666541</v>
      </c>
      <c r="O24" s="2">
        <f t="shared" si="4"/>
        <v>14.395525665891144</v>
      </c>
      <c r="P24" s="2">
        <f t="shared" si="4"/>
        <v>14.19513003703354</v>
      </c>
      <c r="Q24" s="17">
        <f t="shared" si="4"/>
        <v>14.599633045416775</v>
      </c>
      <c r="R24" s="2">
        <f t="shared" si="4"/>
        <v>11.734082182505091</v>
      </c>
      <c r="S24" s="2">
        <f t="shared" si="4"/>
        <v>12.328520537676024</v>
      </c>
      <c r="T24" s="2">
        <f t="shared" si="4"/>
        <v>12.775741567678587</v>
      </c>
      <c r="U24" s="17">
        <f t="shared" si="4"/>
        <v>12.94627820562075</v>
      </c>
      <c r="V24" s="2">
        <f t="shared" si="4"/>
        <v>13.691204382273677</v>
      </c>
      <c r="W24" s="2">
        <f t="shared" si="4"/>
        <v>13.348125469351231</v>
      </c>
      <c r="X24" s="2">
        <f t="shared" si="4"/>
        <v>14.317692652408729</v>
      </c>
      <c r="Y24" s="17">
        <f t="shared" si="4"/>
        <v>13.446709240281544</v>
      </c>
      <c r="Z24" s="2">
        <f t="shared" si="4"/>
        <v>14.694732729482208</v>
      </c>
      <c r="AA24" s="2">
        <f t="shared" si="4"/>
        <v>15.164900034229088</v>
      </c>
      <c r="AB24" s="2">
        <f t="shared" si="4"/>
        <v>17.218359292493002</v>
      </c>
      <c r="AC24" s="17">
        <f t="shared" si="4"/>
        <v>17.13944321127375</v>
      </c>
      <c r="AD24" s="2">
        <f t="shared" si="4"/>
        <v>18.247163554872728</v>
      </c>
      <c r="AE24" s="2">
        <f t="shared" si="4"/>
        <v>19.32480498358046</v>
      </c>
      <c r="AF24" s="2">
        <f t="shared" si="4"/>
        <v>20.620120092387854</v>
      </c>
      <c r="AG24" s="17">
        <f t="shared" si="4"/>
        <v>23.548429785860929</v>
      </c>
    </row>
    <row r="25" spans="1:33">
      <c r="A25" s="79" t="s">
        <v>63</v>
      </c>
      <c r="B25" s="2">
        <f t="shared" ref="B25:AG25" si="5">B4/B18*100</f>
        <v>9.4067934724350017</v>
      </c>
      <c r="C25" s="2">
        <f t="shared" si="5"/>
        <v>9.1227329160381974</v>
      </c>
      <c r="D25" s="2">
        <f t="shared" si="5"/>
        <v>8.2736980652251972</v>
      </c>
      <c r="E25" s="17">
        <f t="shared" si="5"/>
        <v>8.4257121816535268</v>
      </c>
      <c r="F25" s="2">
        <f t="shared" si="5"/>
        <v>7.8882819472273615</v>
      </c>
      <c r="G25" s="2">
        <f t="shared" si="5"/>
        <v>7.5289567614228767</v>
      </c>
      <c r="H25" s="2">
        <f t="shared" si="5"/>
        <v>7.2264875926811936</v>
      </c>
      <c r="I25" s="17">
        <f t="shared" si="5"/>
        <v>7.6622750639747812</v>
      </c>
      <c r="J25" s="2">
        <f t="shared" si="5"/>
        <v>7.9157239988493204</v>
      </c>
      <c r="K25" s="2">
        <f t="shared" si="5"/>
        <v>7.9875290234812173</v>
      </c>
      <c r="L25" s="2">
        <f t="shared" si="5"/>
        <v>8.4096519438215882</v>
      </c>
      <c r="M25" s="17">
        <f t="shared" si="5"/>
        <v>7.4566817827726117</v>
      </c>
      <c r="N25" s="2">
        <f t="shared" si="5"/>
        <v>7.4088498047282787</v>
      </c>
      <c r="O25" s="2">
        <f t="shared" si="5"/>
        <v>7.4651792317959362</v>
      </c>
      <c r="P25" s="2">
        <f t="shared" si="5"/>
        <v>7.5785535814606853</v>
      </c>
      <c r="Q25" s="17">
        <f t="shared" si="5"/>
        <v>7.3531395785492242</v>
      </c>
      <c r="R25" s="2">
        <f t="shared" si="5"/>
        <v>9.3161202140770527</v>
      </c>
      <c r="S25" s="2">
        <f t="shared" si="5"/>
        <v>8.8272779898684277</v>
      </c>
      <c r="T25" s="2">
        <f t="shared" si="5"/>
        <v>8.4920341895473097</v>
      </c>
      <c r="U25" s="17">
        <f t="shared" si="5"/>
        <v>8.3708079017404575</v>
      </c>
      <c r="V25" s="2">
        <f t="shared" si="5"/>
        <v>7.879472821324514</v>
      </c>
      <c r="W25" s="2">
        <f t="shared" si="5"/>
        <v>8.0983951975711488</v>
      </c>
      <c r="X25" s="2">
        <f t="shared" si="5"/>
        <v>7.5088082155067086</v>
      </c>
      <c r="Y25" s="17">
        <f t="shared" si="5"/>
        <v>8.0342521119050421</v>
      </c>
      <c r="Z25" s="2">
        <f t="shared" si="5"/>
        <v>7.3020775195355672</v>
      </c>
      <c r="AA25" s="2">
        <f t="shared" si="5"/>
        <v>7.0597038989581833</v>
      </c>
      <c r="AB25" s="2">
        <f t="shared" si="5"/>
        <v>6.165851810071012</v>
      </c>
      <c r="AC25" s="17">
        <f t="shared" si="5"/>
        <v>6.1960006111083095</v>
      </c>
      <c r="AD25" s="2">
        <f t="shared" si="5"/>
        <v>5.7980548327175603</v>
      </c>
      <c r="AE25" s="2">
        <f t="shared" si="5"/>
        <v>5.4570839956879658</v>
      </c>
      <c r="AF25" s="2">
        <f t="shared" si="5"/>
        <v>5.0968087620828406</v>
      </c>
      <c r="AG25" s="17">
        <f t="shared" si="5"/>
        <v>4.4348986137697866</v>
      </c>
    </row>
    <row r="26" spans="1:33" s="16" customFormat="1">
      <c r="A26" s="79" t="s">
        <v>41</v>
      </c>
      <c r="B26" s="15">
        <v>15.18</v>
      </c>
      <c r="C26" s="15">
        <v>14.87</v>
      </c>
      <c r="D26" s="15">
        <v>13.79</v>
      </c>
      <c r="E26" s="8">
        <v>14.15</v>
      </c>
      <c r="F26" s="15">
        <v>12.8</v>
      </c>
      <c r="G26" s="15">
        <v>12.17</v>
      </c>
      <c r="H26" s="15">
        <v>12.11</v>
      </c>
      <c r="I26" s="8">
        <v>15.27</v>
      </c>
      <c r="J26" s="15">
        <v>12.22</v>
      </c>
      <c r="K26" s="15">
        <v>12.21</v>
      </c>
      <c r="L26" s="15">
        <v>12.74</v>
      </c>
      <c r="M26" s="8">
        <v>13.46</v>
      </c>
      <c r="N26" s="15">
        <v>16.53</v>
      </c>
      <c r="O26" s="15">
        <v>16.93</v>
      </c>
      <c r="P26" s="15">
        <v>17.37</v>
      </c>
      <c r="Q26" s="8">
        <v>17.059999999999999</v>
      </c>
      <c r="R26" s="15">
        <v>19.16</v>
      </c>
      <c r="S26" s="15">
        <v>15.39</v>
      </c>
      <c r="T26" s="15">
        <v>17.53</v>
      </c>
      <c r="U26" s="8">
        <v>14.66</v>
      </c>
      <c r="V26" s="15">
        <v>13.56</v>
      </c>
      <c r="W26" s="15">
        <v>13.83</v>
      </c>
      <c r="X26" s="15">
        <v>13.16</v>
      </c>
      <c r="Y26" s="8">
        <v>14.97</v>
      </c>
      <c r="Z26" s="15">
        <v>14.49</v>
      </c>
      <c r="AA26" s="15">
        <v>15.32</v>
      </c>
      <c r="AB26" s="15">
        <v>15.29</v>
      </c>
      <c r="AC26" s="8">
        <v>13.51</v>
      </c>
      <c r="AD26" s="15">
        <v>13.7</v>
      </c>
      <c r="AE26" s="15">
        <v>13.88</v>
      </c>
      <c r="AF26" s="15">
        <v>12.98</v>
      </c>
      <c r="AG26" s="9">
        <v>14.9</v>
      </c>
    </row>
  </sheetData>
  <mergeCells count="33">
    <mergeCell ref="A1:A2"/>
    <mergeCell ref="Y1:Y2"/>
    <mergeCell ref="AC1:AC2"/>
    <mergeCell ref="AG1:AG2"/>
    <mergeCell ref="T1:T2"/>
    <mergeCell ref="V1:V2"/>
    <mergeCell ref="W1:W2"/>
    <mergeCell ref="X1:X2"/>
    <mergeCell ref="Z1:Z2"/>
    <mergeCell ref="AA1:AA2"/>
    <mergeCell ref="AB1:AB2"/>
    <mergeCell ref="AD1:AD2"/>
    <mergeCell ref="AE1:AE2"/>
    <mergeCell ref="AF1:AF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Q1:Q2"/>
    <mergeCell ref="R1:R2"/>
    <mergeCell ref="S1:S2"/>
    <mergeCell ref="U1:U2"/>
    <mergeCell ref="L1:L2"/>
    <mergeCell ref="M1:M2"/>
    <mergeCell ref="N1:N2"/>
    <mergeCell ref="O1:O2"/>
    <mergeCell ref="P1:P2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A4536-7BC7-4811-AB26-3D4CA06FF78D}">
  <dimension ref="A1:J55"/>
  <sheetViews>
    <sheetView zoomScale="70" zoomScaleNormal="70" workbookViewId="0">
      <pane xSplit="1" topLeftCell="B1" activePane="topRight" state="frozen"/>
      <selection activeCell="A4" sqref="A4"/>
      <selection pane="topRight" activeCell="J7" sqref="J7"/>
    </sheetView>
  </sheetViews>
  <sheetFormatPr defaultRowHeight="13.8"/>
  <cols>
    <col min="1" max="1" width="48.5546875" style="2" customWidth="1"/>
    <col min="2" max="6" width="12.44140625" style="2" bestFit="1" customWidth="1"/>
    <col min="7" max="9" width="12.88671875" style="2" bestFit="1" customWidth="1"/>
    <col min="10" max="10" width="11.88671875" style="2" bestFit="1" customWidth="1"/>
    <col min="11" max="16384" width="8.88671875" style="2"/>
  </cols>
  <sheetData>
    <row r="1" spans="1:10" ht="22.8" customHeight="1">
      <c r="A1" s="373" t="s">
        <v>39</v>
      </c>
      <c r="B1" s="367">
        <v>2014</v>
      </c>
      <c r="C1" s="367">
        <v>2015</v>
      </c>
      <c r="D1" s="367">
        <v>2016</v>
      </c>
      <c r="E1" s="367">
        <v>2017</v>
      </c>
      <c r="F1" s="367">
        <v>2018</v>
      </c>
      <c r="G1" s="367">
        <v>2019</v>
      </c>
      <c r="H1" s="367">
        <v>2020</v>
      </c>
      <c r="I1" s="369">
        <v>2021</v>
      </c>
      <c r="J1" s="371" t="s">
        <v>124</v>
      </c>
    </row>
    <row r="2" spans="1:10" ht="14.4" customHeight="1" thickBot="1">
      <c r="A2" s="374"/>
      <c r="B2" s="368"/>
      <c r="C2" s="368"/>
      <c r="D2" s="368"/>
      <c r="E2" s="368"/>
      <c r="F2" s="368"/>
      <c r="G2" s="368"/>
      <c r="H2" s="368"/>
      <c r="I2" s="370"/>
      <c r="J2" s="372"/>
    </row>
    <row r="3" spans="1:10" ht="20.399999999999999">
      <c r="A3" s="87" t="s">
        <v>135</v>
      </c>
      <c r="B3" s="95"/>
      <c r="C3" s="95"/>
      <c r="D3" s="95"/>
      <c r="E3" s="95"/>
      <c r="F3" s="95"/>
      <c r="G3" s="95"/>
      <c r="H3" s="95"/>
      <c r="I3" s="96"/>
      <c r="J3" s="97"/>
    </row>
    <row r="4" spans="1:10" ht="26.4">
      <c r="A4" s="98" t="s">
        <v>141</v>
      </c>
      <c r="B4" s="95">
        <v>6584642</v>
      </c>
      <c r="C4" s="95">
        <v>7568815</v>
      </c>
      <c r="D4" s="95">
        <v>8303052</v>
      </c>
      <c r="E4" s="95">
        <v>8932856</v>
      </c>
      <c r="F4" s="85">
        <v>10436088</v>
      </c>
      <c r="G4" s="85">
        <v>18893086</v>
      </c>
      <c r="H4" s="85">
        <v>24647910</v>
      </c>
      <c r="I4" s="90">
        <v>65455316</v>
      </c>
      <c r="J4" s="97">
        <f>AVERAGE(B4:I4)</f>
        <v>18852720.625</v>
      </c>
    </row>
    <row r="5" spans="1:10">
      <c r="A5" s="98" t="s">
        <v>142</v>
      </c>
      <c r="B5" s="95">
        <v>2667534</v>
      </c>
      <c r="C5" s="95">
        <v>3583494</v>
      </c>
      <c r="D5" s="95">
        <v>4698081</v>
      </c>
      <c r="E5" s="95">
        <v>3576020</v>
      </c>
      <c r="F5" s="85">
        <v>6419648</v>
      </c>
      <c r="G5" s="85">
        <v>6990830</v>
      </c>
      <c r="H5" s="85">
        <v>5809467</v>
      </c>
      <c r="I5" s="90">
        <v>14522944</v>
      </c>
      <c r="J5" s="97">
        <f t="shared" ref="J5:J43" si="0">AVERAGE(B5:I5)</f>
        <v>6033502.25</v>
      </c>
    </row>
    <row r="6" spans="1:10" ht="26.4">
      <c r="A6" s="98" t="s">
        <v>145</v>
      </c>
      <c r="B6" s="95">
        <v>2204189</v>
      </c>
      <c r="C6" s="95">
        <v>2330367</v>
      </c>
      <c r="D6" s="95">
        <v>3592926</v>
      </c>
      <c r="E6" s="95">
        <v>4428065</v>
      </c>
      <c r="F6" s="85">
        <v>6396065</v>
      </c>
      <c r="G6" s="85">
        <v>12630467</v>
      </c>
      <c r="H6" s="85">
        <v>20795073</v>
      </c>
      <c r="I6" s="90">
        <v>32165357</v>
      </c>
      <c r="J6" s="97">
        <f t="shared" si="0"/>
        <v>10567813.625</v>
      </c>
    </row>
    <row r="7" spans="1:10">
      <c r="A7" s="98" t="s">
        <v>151</v>
      </c>
      <c r="B7" s="95">
        <v>20575082</v>
      </c>
      <c r="C7" s="95">
        <v>25851000</v>
      </c>
      <c r="D7" s="95">
        <v>28250102</v>
      </c>
      <c r="E7" s="95">
        <v>35994116</v>
      </c>
      <c r="F7" s="85">
        <v>45348335</v>
      </c>
      <c r="G7" s="85">
        <v>55218449</v>
      </c>
      <c r="H7" s="85">
        <v>74043052</v>
      </c>
      <c r="I7" s="90">
        <v>111440591</v>
      </c>
      <c r="J7" s="97">
        <f t="shared" si="0"/>
        <v>49590090.875</v>
      </c>
    </row>
    <row r="8" spans="1:10" ht="26.4">
      <c r="A8" s="98" t="s">
        <v>144</v>
      </c>
      <c r="B8" s="95">
        <v>481195</v>
      </c>
      <c r="C8" s="95">
        <v>442519</v>
      </c>
      <c r="D8" s="95">
        <v>748062</v>
      </c>
      <c r="E8" s="95">
        <v>717130</v>
      </c>
      <c r="F8" s="85">
        <v>1179767</v>
      </c>
      <c r="G8" s="85">
        <v>2043674</v>
      </c>
      <c r="H8" s="85">
        <v>2934591</v>
      </c>
      <c r="I8" s="90">
        <v>3075409</v>
      </c>
      <c r="J8" s="97">
        <f t="shared" si="0"/>
        <v>1452793.375</v>
      </c>
    </row>
    <row r="9" spans="1:10">
      <c r="A9" s="88" t="s">
        <v>43</v>
      </c>
      <c r="B9" s="99">
        <v>3022870</v>
      </c>
      <c r="C9" s="99">
        <v>3402490</v>
      </c>
      <c r="D9" s="99">
        <v>3912064</v>
      </c>
      <c r="E9" s="99">
        <v>4591151</v>
      </c>
      <c r="F9" s="99">
        <v>5438553</v>
      </c>
      <c r="G9" s="99">
        <v>6821290</v>
      </c>
      <c r="H9" s="99">
        <v>7995097</v>
      </c>
      <c r="I9" s="100">
        <v>10456853</v>
      </c>
      <c r="J9" s="97">
        <f t="shared" si="0"/>
        <v>5705046</v>
      </c>
    </row>
    <row r="10" spans="1:10">
      <c r="A10" s="98"/>
      <c r="B10" s="95"/>
      <c r="C10" s="95"/>
      <c r="D10" s="95"/>
      <c r="E10" s="95"/>
      <c r="F10" s="85"/>
      <c r="G10" s="85"/>
      <c r="H10" s="85"/>
      <c r="I10" s="90"/>
      <c r="J10" s="97"/>
    </row>
    <row r="11" spans="1:10">
      <c r="A11" s="101" t="s">
        <v>66</v>
      </c>
      <c r="B11" s="83">
        <v>22144614</v>
      </c>
      <c r="C11" s="83">
        <v>28122666</v>
      </c>
      <c r="D11" s="83">
        <v>31901763</v>
      </c>
      <c r="E11" s="83">
        <v>39857400</v>
      </c>
      <c r="F11" s="85">
        <v>53986278</v>
      </c>
      <c r="G11" s="85">
        <v>85494387</v>
      </c>
      <c r="H11" s="85">
        <v>122172984</v>
      </c>
      <c r="I11" s="90">
        <v>212105389</v>
      </c>
      <c r="J11" s="97">
        <f t="shared" si="0"/>
        <v>74473185.125</v>
      </c>
    </row>
    <row r="12" spans="1:10" ht="27.6">
      <c r="A12" s="101" t="s">
        <v>64</v>
      </c>
      <c r="B12" s="95">
        <v>25885</v>
      </c>
      <c r="C12" s="95">
        <v>71523</v>
      </c>
      <c r="D12" s="95">
        <v>119727</v>
      </c>
      <c r="E12" s="95">
        <v>80697</v>
      </c>
      <c r="F12" s="85">
        <v>10142889</v>
      </c>
      <c r="G12" s="85">
        <v>5391677</v>
      </c>
      <c r="H12" s="85">
        <v>11588892</v>
      </c>
      <c r="I12" s="90">
        <v>8321974</v>
      </c>
      <c r="J12" s="97">
        <f t="shared" si="0"/>
        <v>4467908</v>
      </c>
    </row>
    <row r="13" spans="1:10">
      <c r="A13" s="101" t="s">
        <v>65</v>
      </c>
      <c r="B13" s="95">
        <v>6303898</v>
      </c>
      <c r="C13" s="95">
        <v>7511679</v>
      </c>
      <c r="D13" s="95">
        <v>8036821</v>
      </c>
      <c r="E13" s="95">
        <v>9031509</v>
      </c>
      <c r="F13" s="84">
        <v>188003</v>
      </c>
      <c r="G13" s="84" t="s">
        <v>1</v>
      </c>
      <c r="H13" s="84">
        <v>185225</v>
      </c>
      <c r="I13" s="89">
        <v>6495137</v>
      </c>
      <c r="J13" s="97">
        <f t="shared" si="0"/>
        <v>5393181.7142857146</v>
      </c>
    </row>
    <row r="14" spans="1:10">
      <c r="A14" s="101" t="s">
        <v>67</v>
      </c>
      <c r="B14" s="83">
        <v>708743</v>
      </c>
      <c r="C14" s="83">
        <v>711542</v>
      </c>
      <c r="D14" s="83">
        <v>1219873</v>
      </c>
      <c r="E14" s="83">
        <v>750524</v>
      </c>
      <c r="F14" s="84" t="s">
        <v>1</v>
      </c>
      <c r="G14" s="84" t="s">
        <v>1</v>
      </c>
      <c r="H14" s="84" t="s">
        <v>1</v>
      </c>
      <c r="I14" s="89" t="s">
        <v>1</v>
      </c>
      <c r="J14" s="97">
        <f t="shared" si="0"/>
        <v>847670.5</v>
      </c>
    </row>
    <row r="15" spans="1:10" ht="27.6">
      <c r="A15" s="101" t="s">
        <v>68</v>
      </c>
      <c r="B15" s="95" t="s">
        <v>1</v>
      </c>
      <c r="C15" s="95" t="s">
        <v>1</v>
      </c>
      <c r="D15" s="95" t="s">
        <v>1</v>
      </c>
      <c r="E15" s="95" t="s">
        <v>1</v>
      </c>
      <c r="F15" s="84" t="s">
        <v>1</v>
      </c>
      <c r="G15" s="84" t="s">
        <v>1</v>
      </c>
      <c r="H15" s="84" t="s">
        <v>1</v>
      </c>
      <c r="I15" s="89" t="s">
        <v>1</v>
      </c>
      <c r="J15" s="97"/>
    </row>
    <row r="16" spans="1:10">
      <c r="A16" s="101" t="s">
        <v>69</v>
      </c>
      <c r="B16" s="83">
        <v>144134</v>
      </c>
      <c r="C16" s="83">
        <v>118978</v>
      </c>
      <c r="D16" s="83">
        <v>157964</v>
      </c>
      <c r="E16" s="83">
        <v>198119</v>
      </c>
      <c r="F16" s="84">
        <v>169333</v>
      </c>
      <c r="G16" s="85">
        <v>424137</v>
      </c>
      <c r="H16" s="85">
        <v>1676806</v>
      </c>
      <c r="I16" s="90">
        <v>257913</v>
      </c>
      <c r="J16" s="97">
        <f t="shared" si="0"/>
        <v>393423</v>
      </c>
    </row>
    <row r="17" spans="1:10">
      <c r="A17" s="101" t="s">
        <v>70</v>
      </c>
      <c r="B17" s="83">
        <v>439068</v>
      </c>
      <c r="C17" s="83">
        <v>454608</v>
      </c>
      <c r="D17" s="83">
        <v>399451</v>
      </c>
      <c r="E17" s="83">
        <v>334851</v>
      </c>
      <c r="F17" s="85" t="s">
        <v>1</v>
      </c>
      <c r="G17" s="85">
        <v>326178</v>
      </c>
      <c r="H17" s="85">
        <v>344025</v>
      </c>
      <c r="I17" s="90">
        <v>352375</v>
      </c>
      <c r="J17" s="97">
        <f t="shared" si="0"/>
        <v>378650.85714285716</v>
      </c>
    </row>
    <row r="18" spans="1:10">
      <c r="A18" s="101" t="s">
        <v>71</v>
      </c>
      <c r="B18" s="83">
        <v>321358</v>
      </c>
      <c r="C18" s="83">
        <v>401990</v>
      </c>
      <c r="D18" s="83">
        <v>226</v>
      </c>
      <c r="E18" s="83" t="s">
        <v>1</v>
      </c>
      <c r="F18" s="85">
        <v>795895</v>
      </c>
      <c r="G18" s="85">
        <v>1090995</v>
      </c>
      <c r="H18" s="85">
        <v>1570801</v>
      </c>
      <c r="I18" s="90">
        <v>2442375</v>
      </c>
      <c r="J18" s="97">
        <f t="shared" si="0"/>
        <v>946234.28571428568</v>
      </c>
    </row>
    <row r="19" spans="1:10" ht="27.6">
      <c r="A19" s="101" t="s">
        <v>72</v>
      </c>
      <c r="B19" s="95" t="s">
        <v>1</v>
      </c>
      <c r="C19" s="95">
        <v>98650</v>
      </c>
      <c r="D19" s="95">
        <v>137829</v>
      </c>
      <c r="E19" s="95">
        <v>70795</v>
      </c>
      <c r="F19" s="84">
        <v>175685</v>
      </c>
      <c r="G19" s="84">
        <v>224425</v>
      </c>
      <c r="H19" s="84">
        <v>348052</v>
      </c>
      <c r="I19" s="89">
        <v>1158997</v>
      </c>
      <c r="J19" s="97">
        <f t="shared" si="0"/>
        <v>316347.57142857142</v>
      </c>
    </row>
    <row r="20" spans="1:10">
      <c r="A20" s="101" t="s">
        <v>73</v>
      </c>
      <c r="B20" s="95">
        <v>400698</v>
      </c>
      <c r="C20" s="95">
        <v>532175</v>
      </c>
      <c r="D20" s="95">
        <v>581740</v>
      </c>
      <c r="E20" s="95">
        <v>791440</v>
      </c>
      <c r="F20" s="84" t="s">
        <v>1</v>
      </c>
      <c r="G20" s="84" t="s">
        <v>1</v>
      </c>
      <c r="H20" s="84" t="s">
        <v>1</v>
      </c>
      <c r="I20" s="89" t="s">
        <v>1</v>
      </c>
      <c r="J20" s="97">
        <f t="shared" si="0"/>
        <v>576513.25</v>
      </c>
    </row>
    <row r="21" spans="1:10" ht="41.4">
      <c r="A21" s="101" t="s">
        <v>74</v>
      </c>
      <c r="B21" s="83">
        <v>32315</v>
      </c>
      <c r="C21" s="83">
        <v>36472</v>
      </c>
      <c r="D21" s="83">
        <v>27851</v>
      </c>
      <c r="E21" s="83">
        <v>56271</v>
      </c>
      <c r="F21" s="84" t="s">
        <v>1</v>
      </c>
      <c r="G21" s="84" t="s">
        <v>1</v>
      </c>
      <c r="H21" s="84" t="s">
        <v>1</v>
      </c>
      <c r="I21" s="89" t="s">
        <v>1</v>
      </c>
      <c r="J21" s="97">
        <f t="shared" si="0"/>
        <v>38227.25</v>
      </c>
    </row>
    <row r="22" spans="1:10" ht="41.4">
      <c r="A22" s="101" t="s">
        <v>75</v>
      </c>
      <c r="B22" s="83" t="s">
        <v>1</v>
      </c>
      <c r="C22" s="83" t="s">
        <v>1</v>
      </c>
      <c r="D22" s="83" t="s">
        <v>1</v>
      </c>
      <c r="E22" s="83" t="s">
        <v>1</v>
      </c>
      <c r="F22" s="85">
        <v>1901210</v>
      </c>
      <c r="G22" s="85">
        <v>3380983</v>
      </c>
      <c r="H22" s="85">
        <v>4590265</v>
      </c>
      <c r="I22" s="90">
        <v>8100496</v>
      </c>
      <c r="J22" s="97">
        <f t="shared" si="0"/>
        <v>4493238.5</v>
      </c>
    </row>
    <row r="23" spans="1:10">
      <c r="A23" s="101" t="s">
        <v>59</v>
      </c>
      <c r="B23" s="83">
        <v>464592</v>
      </c>
      <c r="C23" s="83">
        <v>589734</v>
      </c>
      <c r="D23" s="83">
        <v>1981646</v>
      </c>
      <c r="E23" s="83">
        <v>1360338</v>
      </c>
      <c r="F23" s="85">
        <v>1434479</v>
      </c>
      <c r="G23" s="85">
        <v>1285273</v>
      </c>
      <c r="H23" s="85">
        <v>1818168</v>
      </c>
      <c r="I23" s="90">
        <v>4376751</v>
      </c>
      <c r="J23" s="97">
        <f t="shared" si="0"/>
        <v>1663872.625</v>
      </c>
    </row>
    <row r="24" spans="1:10">
      <c r="A24" s="88" t="s">
        <v>61</v>
      </c>
      <c r="B24" s="99">
        <f t="shared" ref="B24" si="1">SUM(B11:B21)</f>
        <v>30520713</v>
      </c>
      <c r="C24" s="99">
        <f>SUM(C11:C23)</f>
        <v>38650017</v>
      </c>
      <c r="D24" s="99">
        <f t="shared" ref="D24:I24" si="2">SUM(D11:D23)</f>
        <v>44564891</v>
      </c>
      <c r="E24" s="99">
        <f t="shared" si="2"/>
        <v>52531944</v>
      </c>
      <c r="F24" s="99">
        <f t="shared" si="2"/>
        <v>68793772</v>
      </c>
      <c r="G24" s="99">
        <f t="shared" si="2"/>
        <v>97618055</v>
      </c>
      <c r="H24" s="99">
        <f t="shared" si="2"/>
        <v>144295218</v>
      </c>
      <c r="I24" s="100">
        <f t="shared" si="2"/>
        <v>243611407</v>
      </c>
      <c r="J24" s="97">
        <f t="shared" si="0"/>
        <v>90073252.125</v>
      </c>
    </row>
    <row r="25" spans="1:10" s="18" customFormat="1">
      <c r="A25" s="88" t="s">
        <v>45</v>
      </c>
      <c r="B25" s="99">
        <f t="shared" ref="B25:I25" si="3">B24+B9</f>
        <v>33543583</v>
      </c>
      <c r="C25" s="99">
        <f t="shared" si="3"/>
        <v>42052507</v>
      </c>
      <c r="D25" s="99">
        <f t="shared" si="3"/>
        <v>48476955</v>
      </c>
      <c r="E25" s="99">
        <f t="shared" si="3"/>
        <v>57123095</v>
      </c>
      <c r="F25" s="99">
        <f t="shared" si="3"/>
        <v>74232325</v>
      </c>
      <c r="G25" s="99">
        <f t="shared" si="3"/>
        <v>104439345</v>
      </c>
      <c r="H25" s="99">
        <f t="shared" si="3"/>
        <v>152290315</v>
      </c>
      <c r="I25" s="100">
        <f t="shared" si="3"/>
        <v>254068260</v>
      </c>
      <c r="J25" s="97">
        <f t="shared" si="0"/>
        <v>95778298.125</v>
      </c>
    </row>
    <row r="26" spans="1:10" s="33" customFormat="1">
      <c r="A26" s="107" t="s">
        <v>40</v>
      </c>
      <c r="B26" s="108">
        <f t="shared" ref="B26:I26" si="4">B24+B9</f>
        <v>33543583</v>
      </c>
      <c r="C26" s="108">
        <f t="shared" si="4"/>
        <v>42052507</v>
      </c>
      <c r="D26" s="108">
        <f t="shared" si="4"/>
        <v>48476955</v>
      </c>
      <c r="E26" s="108">
        <f t="shared" si="4"/>
        <v>57123095</v>
      </c>
      <c r="F26" s="108">
        <f t="shared" si="4"/>
        <v>74232325</v>
      </c>
      <c r="G26" s="108">
        <f t="shared" si="4"/>
        <v>104439345</v>
      </c>
      <c r="H26" s="108">
        <f t="shared" si="4"/>
        <v>152290315</v>
      </c>
      <c r="I26" s="109">
        <f t="shared" si="4"/>
        <v>254068260</v>
      </c>
      <c r="J26" s="110">
        <f t="shared" si="0"/>
        <v>95778298.125</v>
      </c>
    </row>
    <row r="27" spans="1:10" s="33" customFormat="1" ht="20.399999999999999">
      <c r="A27" s="92" t="s">
        <v>136</v>
      </c>
      <c r="B27" s="112"/>
      <c r="C27" s="112"/>
      <c r="D27" s="112"/>
      <c r="E27" s="112"/>
      <c r="F27" s="112"/>
      <c r="G27" s="112"/>
      <c r="H27" s="112"/>
      <c r="I27" s="113"/>
      <c r="J27" s="97"/>
    </row>
    <row r="28" spans="1:10">
      <c r="A28" s="115" t="s">
        <v>62</v>
      </c>
      <c r="B28" s="116">
        <f t="shared" ref="B28:I28" si="5">B9/B25*100</f>
        <v>9.0117683611795432</v>
      </c>
      <c r="C28" s="116">
        <f t="shared" si="5"/>
        <v>8.0910515037783597</v>
      </c>
      <c r="D28" s="116">
        <f t="shared" si="5"/>
        <v>8.0699458123968384</v>
      </c>
      <c r="E28" s="116">
        <f t="shared" si="5"/>
        <v>8.0372938476110232</v>
      </c>
      <c r="F28" s="116">
        <f t="shared" si="5"/>
        <v>7.3263945323011237</v>
      </c>
      <c r="G28" s="116">
        <f t="shared" si="5"/>
        <v>6.5313412296869533</v>
      </c>
      <c r="H28" s="116">
        <f t="shared" si="5"/>
        <v>5.2499050908128986</v>
      </c>
      <c r="I28" s="117">
        <f t="shared" si="5"/>
        <v>4.1157651884576216</v>
      </c>
      <c r="J28" s="141">
        <f t="shared" si="0"/>
        <v>7.0541831957780454</v>
      </c>
    </row>
    <row r="29" spans="1:10">
      <c r="A29" s="115" t="s">
        <v>46</v>
      </c>
      <c r="B29" s="116">
        <f t="shared" ref="B29:I29" si="6">B24/B9</f>
        <v>10.096601243189419</v>
      </c>
      <c r="C29" s="116">
        <f t="shared" si="6"/>
        <v>11.359333017878084</v>
      </c>
      <c r="D29" s="116">
        <f t="shared" si="6"/>
        <v>11.391656936082846</v>
      </c>
      <c r="E29" s="116">
        <f t="shared" si="6"/>
        <v>11.441998749333228</v>
      </c>
      <c r="F29" s="116">
        <f t="shared" si="6"/>
        <v>12.649278585682625</v>
      </c>
      <c r="G29" s="116">
        <f t="shared" si="6"/>
        <v>14.310790920778913</v>
      </c>
      <c r="H29" s="116">
        <f t="shared" si="6"/>
        <v>18.047963395566057</v>
      </c>
      <c r="I29" s="117">
        <f t="shared" si="6"/>
        <v>23.296818555257495</v>
      </c>
      <c r="J29" s="141">
        <f t="shared" si="0"/>
        <v>14.074305175471082</v>
      </c>
    </row>
    <row r="30" spans="1:10">
      <c r="A30" s="115" t="s">
        <v>47</v>
      </c>
      <c r="B30" s="116">
        <f t="shared" ref="B30:I30" si="7">B25/B9</f>
        <v>11.096601243189419</v>
      </c>
      <c r="C30" s="116">
        <f t="shared" si="7"/>
        <v>12.359333017878084</v>
      </c>
      <c r="D30" s="116">
        <f t="shared" si="7"/>
        <v>12.391656936082846</v>
      </c>
      <c r="E30" s="116">
        <f t="shared" si="7"/>
        <v>12.441998749333228</v>
      </c>
      <c r="F30" s="116">
        <f t="shared" si="7"/>
        <v>13.649278585682625</v>
      </c>
      <c r="G30" s="116">
        <f t="shared" si="7"/>
        <v>15.310790920778913</v>
      </c>
      <c r="H30" s="116">
        <f t="shared" si="7"/>
        <v>19.047963395566057</v>
      </c>
      <c r="I30" s="117">
        <f t="shared" si="7"/>
        <v>24.296818555257495</v>
      </c>
      <c r="J30" s="141">
        <f t="shared" si="0"/>
        <v>15.074305175471082</v>
      </c>
    </row>
    <row r="31" spans="1:10">
      <c r="A31" s="115" t="s">
        <v>63</v>
      </c>
      <c r="B31" s="116">
        <f t="shared" ref="B31:I31" si="8">B9/B24*100</f>
        <v>9.9043230084434786</v>
      </c>
      <c r="C31" s="116">
        <f t="shared" si="8"/>
        <v>8.8033337734366324</v>
      </c>
      <c r="D31" s="116">
        <f t="shared" si="8"/>
        <v>8.7783542430295647</v>
      </c>
      <c r="E31" s="116">
        <f t="shared" si="8"/>
        <v>8.7397317715864471</v>
      </c>
      <c r="F31" s="116">
        <f t="shared" si="8"/>
        <v>7.9055891861838896</v>
      </c>
      <c r="G31" s="116">
        <f t="shared" si="8"/>
        <v>6.9877339801535694</v>
      </c>
      <c r="H31" s="116">
        <f t="shared" si="8"/>
        <v>5.5407913795175112</v>
      </c>
      <c r="I31" s="117">
        <f t="shared" si="8"/>
        <v>4.2924315937307487</v>
      </c>
      <c r="J31" s="141">
        <f t="shared" si="0"/>
        <v>7.6190361170102294</v>
      </c>
    </row>
    <row r="32" spans="1:10" s="16" customFormat="1">
      <c r="A32" s="115" t="s">
        <v>41</v>
      </c>
      <c r="B32" s="116">
        <v>15.09</v>
      </c>
      <c r="C32" s="116">
        <v>14.23</v>
      </c>
      <c r="D32" s="116">
        <v>18.16</v>
      </c>
      <c r="E32" s="116">
        <v>17.66</v>
      </c>
      <c r="F32" s="116">
        <v>17.68</v>
      </c>
      <c r="G32" s="116">
        <v>19.32</v>
      </c>
      <c r="H32" s="116">
        <v>21.26</v>
      </c>
      <c r="I32" s="117">
        <v>23.05</v>
      </c>
      <c r="J32" s="141">
        <f t="shared" si="0"/>
        <v>18.306249999999999</v>
      </c>
    </row>
    <row r="33" spans="1:10" s="16" customFormat="1" ht="20.399999999999999">
      <c r="A33" s="93" t="s">
        <v>137</v>
      </c>
      <c r="B33" s="120"/>
      <c r="C33" s="120"/>
      <c r="D33" s="120"/>
      <c r="E33" s="120"/>
      <c r="F33" s="121"/>
      <c r="G33" s="121"/>
      <c r="H33" s="121"/>
      <c r="I33" s="122"/>
      <c r="J33" s="97"/>
    </row>
    <row r="34" spans="1:10" s="34" customFormat="1">
      <c r="A34" s="124" t="s">
        <v>122</v>
      </c>
      <c r="B34" s="120">
        <v>2018781</v>
      </c>
      <c r="C34" s="120">
        <v>2564838</v>
      </c>
      <c r="D34" s="120">
        <v>3110435</v>
      </c>
      <c r="E34" s="120">
        <v>3850986</v>
      </c>
      <c r="F34" s="121">
        <v>5997843</v>
      </c>
      <c r="G34" s="121">
        <v>7471511</v>
      </c>
      <c r="H34" s="121">
        <v>9327690</v>
      </c>
      <c r="I34" s="122">
        <v>13035305</v>
      </c>
      <c r="J34" s="97">
        <f t="shared" si="0"/>
        <v>5922173.625</v>
      </c>
    </row>
    <row r="35" spans="1:10" s="34" customFormat="1">
      <c r="A35" s="124" t="s">
        <v>123</v>
      </c>
      <c r="B35" s="120">
        <v>877547</v>
      </c>
      <c r="C35" s="120">
        <v>1096026</v>
      </c>
      <c r="D35" s="120">
        <v>1440566</v>
      </c>
      <c r="E35" s="120">
        <v>1716773</v>
      </c>
      <c r="F35" s="121">
        <v>2850053</v>
      </c>
      <c r="G35" s="121">
        <v>3975600</v>
      </c>
      <c r="H35" s="121">
        <v>3118614</v>
      </c>
      <c r="I35" s="122">
        <v>5404863</v>
      </c>
      <c r="J35" s="97">
        <f t="shared" si="0"/>
        <v>2560005.25</v>
      </c>
    </row>
    <row r="36" spans="1:10" s="34" customFormat="1">
      <c r="A36" s="126" t="s">
        <v>138</v>
      </c>
      <c r="B36" s="127">
        <f>B34-B35</f>
        <v>1141234</v>
      </c>
      <c r="C36" s="127">
        <f t="shared" ref="C36:I36" si="9">C34-C35</f>
        <v>1468812</v>
      </c>
      <c r="D36" s="127">
        <f t="shared" si="9"/>
        <v>1669869</v>
      </c>
      <c r="E36" s="127">
        <f t="shared" si="9"/>
        <v>2134213</v>
      </c>
      <c r="F36" s="127">
        <f t="shared" si="9"/>
        <v>3147790</v>
      </c>
      <c r="G36" s="127">
        <f t="shared" si="9"/>
        <v>3495911</v>
      </c>
      <c r="H36" s="127">
        <f t="shared" si="9"/>
        <v>6209076</v>
      </c>
      <c r="I36" s="127">
        <f t="shared" si="9"/>
        <v>7630442</v>
      </c>
      <c r="J36" s="97">
        <f t="shared" si="0"/>
        <v>3362168.375</v>
      </c>
    </row>
    <row r="37" spans="1:10">
      <c r="A37" s="124" t="s">
        <v>114</v>
      </c>
      <c r="B37" s="120">
        <v>133895</v>
      </c>
      <c r="C37" s="120">
        <v>152584</v>
      </c>
      <c r="D37" s="120">
        <v>152970</v>
      </c>
      <c r="E37" s="120">
        <v>241002</v>
      </c>
      <c r="F37" s="121">
        <v>349546</v>
      </c>
      <c r="G37" s="121">
        <v>468907</v>
      </c>
      <c r="H37" s="121">
        <v>350721</v>
      </c>
      <c r="I37" s="122">
        <v>577758</v>
      </c>
      <c r="J37" s="97">
        <f t="shared" si="0"/>
        <v>303422.875</v>
      </c>
    </row>
    <row r="38" spans="1:10">
      <c r="A38" s="124" t="s">
        <v>139</v>
      </c>
      <c r="B38" s="120" t="s">
        <v>1</v>
      </c>
      <c r="C38" s="120" t="s">
        <v>1</v>
      </c>
      <c r="D38" s="120">
        <v>509</v>
      </c>
      <c r="E38" s="120" t="s">
        <v>1</v>
      </c>
      <c r="F38" s="121">
        <v>1273</v>
      </c>
      <c r="G38" s="121">
        <v>2841</v>
      </c>
      <c r="H38" s="121">
        <v>6042</v>
      </c>
      <c r="I38" s="122">
        <v>68</v>
      </c>
      <c r="J38" s="97">
        <f t="shared" si="0"/>
        <v>2146.6</v>
      </c>
    </row>
    <row r="39" spans="1:10">
      <c r="A39" s="124" t="s">
        <v>115</v>
      </c>
      <c r="B39" s="120">
        <v>147655</v>
      </c>
      <c r="C39" s="120">
        <v>178108</v>
      </c>
      <c r="D39" s="120">
        <v>275772</v>
      </c>
      <c r="E39" s="120">
        <v>246884</v>
      </c>
      <c r="F39" s="121">
        <v>453415</v>
      </c>
      <c r="G39" s="121">
        <v>1274256</v>
      </c>
      <c r="H39" s="121">
        <v>571361</v>
      </c>
      <c r="I39" s="122">
        <v>2160959</v>
      </c>
      <c r="J39" s="97">
        <f t="shared" si="0"/>
        <v>663551.25</v>
      </c>
    </row>
    <row r="40" spans="1:10">
      <c r="A40" s="124" t="s">
        <v>116</v>
      </c>
      <c r="B40" s="120">
        <v>146916</v>
      </c>
      <c r="C40" s="120">
        <v>190095</v>
      </c>
      <c r="D40" s="120">
        <v>192872</v>
      </c>
      <c r="E40" s="120">
        <v>230217</v>
      </c>
      <c r="F40" s="121">
        <v>656516</v>
      </c>
      <c r="G40" s="121">
        <v>783319</v>
      </c>
      <c r="H40" s="121">
        <v>648066</v>
      </c>
      <c r="I40" s="122">
        <v>925269</v>
      </c>
      <c r="J40" s="97">
        <f t="shared" si="0"/>
        <v>471658.75</v>
      </c>
    </row>
    <row r="41" spans="1:10">
      <c r="A41" s="124" t="s">
        <v>121</v>
      </c>
      <c r="B41" s="120">
        <v>833105</v>
      </c>
      <c r="C41" s="120">
        <v>1007387</v>
      </c>
      <c r="D41" s="120">
        <v>1117119</v>
      </c>
      <c r="E41" s="120">
        <v>1219680</v>
      </c>
      <c r="F41" s="121">
        <v>701833</v>
      </c>
      <c r="G41" s="121">
        <v>910311</v>
      </c>
      <c r="H41" s="121">
        <v>1202037</v>
      </c>
      <c r="I41" s="122">
        <v>1505724</v>
      </c>
      <c r="J41" s="97">
        <f t="shared" si="0"/>
        <v>1062149.5</v>
      </c>
    </row>
    <row r="42" spans="1:10">
      <c r="A42" s="124" t="s">
        <v>117</v>
      </c>
      <c r="B42" s="120">
        <v>462739</v>
      </c>
      <c r="C42" s="120">
        <v>553476</v>
      </c>
      <c r="D42" s="120">
        <v>663212</v>
      </c>
      <c r="E42" s="120">
        <v>848933</v>
      </c>
      <c r="F42" s="121">
        <v>1126057</v>
      </c>
      <c r="G42" s="121">
        <v>1415267</v>
      </c>
      <c r="H42" s="121">
        <v>1852683</v>
      </c>
      <c r="I42" s="122">
        <v>3547366</v>
      </c>
      <c r="J42" s="97">
        <f t="shared" si="0"/>
        <v>1308716.625</v>
      </c>
    </row>
    <row r="43" spans="1:10" ht="27.6">
      <c r="A43" s="140" t="s">
        <v>133</v>
      </c>
      <c r="B43" s="120">
        <v>370450</v>
      </c>
      <c r="C43" s="120">
        <v>444681</v>
      </c>
      <c r="D43" s="120">
        <v>541966</v>
      </c>
      <c r="E43" s="120">
        <v>673991</v>
      </c>
      <c r="F43" s="121">
        <v>869812</v>
      </c>
      <c r="G43" s="121">
        <v>1109838</v>
      </c>
      <c r="H43" s="121">
        <v>1400281</v>
      </c>
      <c r="I43" s="122">
        <v>2501727</v>
      </c>
      <c r="J43" s="97">
        <f t="shared" si="0"/>
        <v>989093.25</v>
      </c>
    </row>
    <row r="45" spans="1:10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>
      <c r="A46" s="7"/>
      <c r="B46" s="7"/>
      <c r="C46" s="7"/>
      <c r="D46" s="7"/>
      <c r="E46" s="7"/>
      <c r="F46" s="7"/>
      <c r="G46" s="7"/>
      <c r="H46" s="7"/>
      <c r="I46" s="7"/>
      <c r="J46" s="7"/>
    </row>
    <row r="47" spans="1:10">
      <c r="A47" s="7"/>
      <c r="B47" s="7"/>
      <c r="C47" s="7"/>
      <c r="D47" s="7"/>
      <c r="E47" s="7"/>
      <c r="F47" s="7"/>
      <c r="G47" s="7"/>
      <c r="H47" s="7"/>
      <c r="I47" s="7"/>
      <c r="J47" s="7"/>
    </row>
    <row r="48" spans="1:10">
      <c r="A48" s="7"/>
      <c r="B48" s="7"/>
      <c r="C48" s="7"/>
      <c r="D48" s="7"/>
      <c r="E48" s="7"/>
      <c r="F48" s="7"/>
      <c r="G48" s="7"/>
      <c r="H48" s="7"/>
      <c r="I48" s="7"/>
      <c r="J48" s="7"/>
    </row>
    <row r="49" spans="1:10">
      <c r="A49" s="7"/>
      <c r="B49" s="7"/>
      <c r="C49" s="7"/>
      <c r="D49" s="7"/>
      <c r="E49" s="7"/>
      <c r="F49" s="7"/>
      <c r="G49" s="7"/>
      <c r="H49" s="7"/>
      <c r="I49" s="7"/>
      <c r="J49" s="7"/>
    </row>
    <row r="50" spans="1:10">
      <c r="A50" s="7"/>
      <c r="B50" s="7"/>
      <c r="C50" s="7"/>
      <c r="D50" s="7"/>
      <c r="E50" s="7"/>
      <c r="F50" s="7"/>
      <c r="G50" s="7"/>
      <c r="H50" s="7"/>
      <c r="I50" s="7"/>
      <c r="J50" s="7"/>
    </row>
    <row r="51" spans="1:10">
      <c r="A51" s="7"/>
      <c r="B51" s="7"/>
      <c r="C51" s="7"/>
      <c r="D51" s="7"/>
      <c r="E51" s="7"/>
      <c r="F51" s="7"/>
      <c r="G51" s="7"/>
      <c r="H51" s="7"/>
      <c r="I51" s="7"/>
      <c r="J51" s="7"/>
    </row>
    <row r="52" spans="1:10">
      <c r="A52" s="7"/>
      <c r="B52" s="7"/>
      <c r="C52" s="7"/>
      <c r="D52" s="7"/>
      <c r="E52" s="7"/>
      <c r="F52" s="7"/>
      <c r="G52" s="7"/>
      <c r="H52" s="7"/>
      <c r="I52" s="7"/>
      <c r="J52" s="7"/>
    </row>
    <row r="53" spans="1:10">
      <c r="A53" s="7"/>
      <c r="B53" s="7"/>
      <c r="C53" s="7"/>
      <c r="D53" s="7"/>
      <c r="E53" s="7"/>
      <c r="F53" s="7"/>
      <c r="G53" s="7"/>
      <c r="H53" s="7"/>
      <c r="I53" s="7"/>
      <c r="J53" s="7"/>
    </row>
    <row r="54" spans="1:10">
      <c r="A54" s="7"/>
      <c r="B54" s="7"/>
      <c r="C54" s="7"/>
      <c r="D54" s="7"/>
      <c r="E54" s="7"/>
      <c r="F54" s="7"/>
      <c r="G54" s="7"/>
      <c r="H54" s="7"/>
      <c r="I54" s="7"/>
      <c r="J54" s="7"/>
    </row>
    <row r="55" spans="1:10">
      <c r="A55" s="7"/>
      <c r="B55" s="7"/>
      <c r="C55" s="7"/>
      <c r="D55" s="7"/>
      <c r="E55" s="7"/>
      <c r="F55" s="7"/>
      <c r="G55" s="7"/>
      <c r="H55" s="7"/>
      <c r="I55" s="7"/>
      <c r="J55" s="7"/>
    </row>
  </sheetData>
  <mergeCells count="10">
    <mergeCell ref="D1:D2"/>
    <mergeCell ref="E1:E2"/>
    <mergeCell ref="C1:C2"/>
    <mergeCell ref="A1:A2"/>
    <mergeCell ref="B1:B2"/>
    <mergeCell ref="J1:J2"/>
    <mergeCell ref="I1:I2"/>
    <mergeCell ref="G1:G2"/>
    <mergeCell ref="H1:H2"/>
    <mergeCell ref="F1:F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7D8F7-84F1-45AE-803B-6D8D1F7F98A3}">
  <dimension ref="A1:AI49"/>
  <sheetViews>
    <sheetView zoomScale="70" zoomScaleNormal="70" workbookViewId="0">
      <selection activeCell="J20" sqref="J20"/>
    </sheetView>
  </sheetViews>
  <sheetFormatPr defaultRowHeight="13.8"/>
  <cols>
    <col min="1" max="1" width="48.5546875" style="2" customWidth="1"/>
    <col min="2" max="24" width="12.44140625" style="2" bestFit="1" customWidth="1"/>
    <col min="25" max="33" width="12.88671875" style="2" bestFit="1" customWidth="1"/>
    <col min="34" max="16384" width="8.88671875" style="2"/>
  </cols>
  <sheetData>
    <row r="1" spans="1:35" ht="22.8" customHeight="1">
      <c r="A1" s="379" t="s">
        <v>39</v>
      </c>
      <c r="B1" s="375" t="s">
        <v>7</v>
      </c>
      <c r="C1" s="375" t="s">
        <v>8</v>
      </c>
      <c r="D1" s="375" t="s">
        <v>9</v>
      </c>
      <c r="E1" s="375" t="s">
        <v>10</v>
      </c>
      <c r="F1" s="375" t="s">
        <v>11</v>
      </c>
      <c r="G1" s="375" t="s">
        <v>12</v>
      </c>
      <c r="H1" s="375" t="s">
        <v>13</v>
      </c>
      <c r="I1" s="375" t="s">
        <v>14</v>
      </c>
      <c r="J1" s="375" t="s">
        <v>15</v>
      </c>
      <c r="K1" s="375" t="s">
        <v>16</v>
      </c>
      <c r="L1" s="375" t="s">
        <v>17</v>
      </c>
      <c r="M1" s="375" t="s">
        <v>18</v>
      </c>
      <c r="N1" s="375" t="s">
        <v>19</v>
      </c>
      <c r="O1" s="375" t="s">
        <v>20</v>
      </c>
      <c r="P1" s="375" t="s">
        <v>21</v>
      </c>
      <c r="Q1" s="375" t="s">
        <v>22</v>
      </c>
      <c r="R1" s="375" t="s">
        <v>23</v>
      </c>
      <c r="S1" s="375" t="s">
        <v>24</v>
      </c>
      <c r="T1" s="375" t="s">
        <v>25</v>
      </c>
      <c r="U1" s="375" t="s">
        <v>26</v>
      </c>
      <c r="V1" s="375" t="s">
        <v>27</v>
      </c>
      <c r="W1" s="375" t="s">
        <v>28</v>
      </c>
      <c r="X1" s="375" t="s">
        <v>29</v>
      </c>
      <c r="Y1" s="375" t="s">
        <v>30</v>
      </c>
      <c r="Z1" s="375" t="s">
        <v>31</v>
      </c>
      <c r="AA1" s="375" t="s">
        <v>32</v>
      </c>
      <c r="AB1" s="375" t="s">
        <v>33</v>
      </c>
      <c r="AC1" s="375" t="s">
        <v>34</v>
      </c>
      <c r="AD1" s="375" t="s">
        <v>35</v>
      </c>
      <c r="AE1" s="375" t="s">
        <v>36</v>
      </c>
      <c r="AF1" s="375" t="s">
        <v>37</v>
      </c>
      <c r="AG1" s="375" t="s">
        <v>38</v>
      </c>
      <c r="AH1" s="15"/>
      <c r="AI1" s="16"/>
    </row>
    <row r="2" spans="1:35">
      <c r="A2" s="379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376"/>
      <c r="AG2" s="376"/>
      <c r="AH2" s="15"/>
      <c r="AI2" s="16"/>
    </row>
    <row r="3" spans="1:35" ht="20.399999999999999">
      <c r="A3" s="81" t="s">
        <v>135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5" ht="14.4">
      <c r="A4" s="56" t="s">
        <v>43</v>
      </c>
      <c r="B4" s="42">
        <v>2384765</v>
      </c>
      <c r="C4" s="42">
        <v>2854082</v>
      </c>
      <c r="D4" s="42">
        <v>1659773</v>
      </c>
      <c r="E4" s="43">
        <v>3022870</v>
      </c>
      <c r="F4" s="42">
        <v>1814537</v>
      </c>
      <c r="G4" s="42">
        <v>3192265</v>
      </c>
      <c r="H4" s="42">
        <v>1968282</v>
      </c>
      <c r="I4" s="43">
        <v>3402490</v>
      </c>
      <c r="J4" s="42">
        <v>3530607</v>
      </c>
      <c r="K4" s="42">
        <v>2171951</v>
      </c>
      <c r="L4" s="42">
        <v>3853254</v>
      </c>
      <c r="M4" s="43">
        <v>3912064</v>
      </c>
      <c r="N4" s="42">
        <v>4079132</v>
      </c>
      <c r="O4" s="42">
        <v>4295265</v>
      </c>
      <c r="P4" s="42">
        <v>4509022</v>
      </c>
      <c r="Q4" s="43">
        <v>4591151</v>
      </c>
      <c r="R4" s="44">
        <v>4840135</v>
      </c>
      <c r="S4" s="44">
        <v>5040773</v>
      </c>
      <c r="T4" s="44">
        <v>5192239</v>
      </c>
      <c r="U4" s="45">
        <v>5438553</v>
      </c>
      <c r="V4" s="44">
        <v>5683103</v>
      </c>
      <c r="W4" s="44">
        <v>6042577</v>
      </c>
      <c r="X4" s="44">
        <v>6371906</v>
      </c>
      <c r="Y4" s="45">
        <v>6821290</v>
      </c>
      <c r="Z4" s="44">
        <v>6825129</v>
      </c>
      <c r="AA4" s="44">
        <v>7515983</v>
      </c>
      <c r="AB4" s="44">
        <v>7532043</v>
      </c>
      <c r="AC4" s="45">
        <v>7995097</v>
      </c>
      <c r="AD4" s="44">
        <v>8184589</v>
      </c>
      <c r="AE4" s="44">
        <v>8898253</v>
      </c>
      <c r="AF4" s="44">
        <v>9348265</v>
      </c>
      <c r="AG4" s="45">
        <v>10456853</v>
      </c>
      <c r="AH4" s="7"/>
    </row>
    <row r="5" spans="1:35">
      <c r="A5" s="59" t="s">
        <v>66</v>
      </c>
      <c r="B5" s="38">
        <v>18523817</v>
      </c>
      <c r="C5" s="38">
        <v>19636946</v>
      </c>
      <c r="D5" s="38">
        <v>15399140</v>
      </c>
      <c r="E5" s="39">
        <v>22144614</v>
      </c>
      <c r="F5" s="38">
        <v>17544047</v>
      </c>
      <c r="G5" s="38">
        <v>25912657</v>
      </c>
      <c r="H5" s="38">
        <v>28567978</v>
      </c>
      <c r="I5" s="39">
        <v>28122666</v>
      </c>
      <c r="J5" s="38">
        <v>27768597</v>
      </c>
      <c r="K5" s="38">
        <v>19766601</v>
      </c>
      <c r="L5" s="38">
        <v>28849512</v>
      </c>
      <c r="M5" s="39">
        <v>31901763</v>
      </c>
      <c r="N5" s="38">
        <v>34254494</v>
      </c>
      <c r="O5" s="38">
        <v>36428449</v>
      </c>
      <c r="P5" s="38">
        <v>38017785</v>
      </c>
      <c r="Q5" s="39">
        <v>39857400</v>
      </c>
      <c r="R5" s="40">
        <v>42875707</v>
      </c>
      <c r="S5" s="40">
        <v>48296925</v>
      </c>
      <c r="T5" s="40">
        <v>55315681</v>
      </c>
      <c r="U5" s="41">
        <v>53986278</v>
      </c>
      <c r="V5" s="40">
        <v>63511618</v>
      </c>
      <c r="W5" s="40">
        <v>69181283</v>
      </c>
      <c r="X5" s="40">
        <v>76435560</v>
      </c>
      <c r="Y5" s="41">
        <v>85494387</v>
      </c>
      <c r="Z5" s="40">
        <v>98822098</v>
      </c>
      <c r="AA5" s="40">
        <v>104424780</v>
      </c>
      <c r="AB5" s="40">
        <v>119340149</v>
      </c>
      <c r="AC5" s="41">
        <v>122172984</v>
      </c>
      <c r="AD5" s="40">
        <v>132160885</v>
      </c>
      <c r="AE5" s="40">
        <v>144468007</v>
      </c>
      <c r="AF5" s="40">
        <v>151191037</v>
      </c>
      <c r="AG5" s="41">
        <v>212105389</v>
      </c>
      <c r="AH5" s="7"/>
    </row>
    <row r="6" spans="1:35" ht="27.6">
      <c r="A6" s="60" t="s">
        <v>64</v>
      </c>
      <c r="B6" s="38">
        <v>29419</v>
      </c>
      <c r="C6" s="38">
        <v>23552</v>
      </c>
      <c r="D6" s="38" t="s">
        <v>1</v>
      </c>
      <c r="E6" s="39">
        <v>25885</v>
      </c>
      <c r="F6" s="38" t="s">
        <v>1</v>
      </c>
      <c r="G6" s="38">
        <v>72580</v>
      </c>
      <c r="H6" s="38">
        <v>70802</v>
      </c>
      <c r="I6" s="39">
        <v>71523</v>
      </c>
      <c r="J6" s="38">
        <v>119651</v>
      </c>
      <c r="K6" s="38">
        <v>17131</v>
      </c>
      <c r="L6" s="38">
        <v>30633</v>
      </c>
      <c r="M6" s="39">
        <v>119727</v>
      </c>
      <c r="N6" s="38">
        <v>30685</v>
      </c>
      <c r="O6" s="38">
        <v>79019</v>
      </c>
      <c r="P6" s="38">
        <v>39321</v>
      </c>
      <c r="Q6" s="39">
        <v>80697</v>
      </c>
      <c r="R6" s="40">
        <v>9672284</v>
      </c>
      <c r="S6" s="40">
        <v>10311566</v>
      </c>
      <c r="T6" s="40">
        <v>11908390</v>
      </c>
      <c r="U6" s="41">
        <v>10142889</v>
      </c>
      <c r="V6" s="40">
        <v>10298629</v>
      </c>
      <c r="W6" s="40">
        <v>7459950</v>
      </c>
      <c r="X6" s="40">
        <v>7044787</v>
      </c>
      <c r="Y6" s="41">
        <v>5391677</v>
      </c>
      <c r="Z6" s="40">
        <v>5536201</v>
      </c>
      <c r="AA6" s="40">
        <v>6775379</v>
      </c>
      <c r="AB6" s="40">
        <v>8922423</v>
      </c>
      <c r="AC6" s="41">
        <v>11588892</v>
      </c>
      <c r="AD6" s="40">
        <v>12250657</v>
      </c>
      <c r="AE6" s="40">
        <v>13934936</v>
      </c>
      <c r="AF6" s="40">
        <v>12541315</v>
      </c>
      <c r="AG6" s="41">
        <v>8321974</v>
      </c>
      <c r="AH6" s="7"/>
    </row>
    <row r="7" spans="1:35">
      <c r="A7" s="60" t="s">
        <v>65</v>
      </c>
      <c r="B7" s="38">
        <v>4364620</v>
      </c>
      <c r="C7" s="38">
        <v>5494955</v>
      </c>
      <c r="D7" s="38">
        <v>3176813</v>
      </c>
      <c r="E7" s="39">
        <v>6303898</v>
      </c>
      <c r="F7" s="38">
        <v>3515574</v>
      </c>
      <c r="G7" s="38">
        <v>7567099</v>
      </c>
      <c r="H7" s="38">
        <v>8270460</v>
      </c>
      <c r="I7" s="39">
        <v>7511679</v>
      </c>
      <c r="J7" s="38">
        <v>7123568</v>
      </c>
      <c r="K7" s="38">
        <v>4122333</v>
      </c>
      <c r="L7" s="38">
        <v>7519131</v>
      </c>
      <c r="M7" s="39">
        <v>8036821</v>
      </c>
      <c r="N7" s="38">
        <v>8351227</v>
      </c>
      <c r="O7" s="38">
        <v>8151630</v>
      </c>
      <c r="P7" s="38">
        <v>8501951</v>
      </c>
      <c r="Q7" s="39">
        <v>9031509</v>
      </c>
      <c r="R7" s="40">
        <v>300105</v>
      </c>
      <c r="S7" s="40">
        <v>194593</v>
      </c>
      <c r="T7" s="40">
        <v>525703</v>
      </c>
      <c r="U7" s="41">
        <v>188003</v>
      </c>
      <c r="V7" s="40" t="s">
        <v>1</v>
      </c>
      <c r="W7" s="40" t="s">
        <v>1</v>
      </c>
      <c r="X7" s="40" t="s">
        <v>1</v>
      </c>
      <c r="Y7" s="41" t="s">
        <v>1</v>
      </c>
      <c r="Z7" s="40" t="s">
        <v>1</v>
      </c>
      <c r="AA7" s="40">
        <v>6931811</v>
      </c>
      <c r="AB7" s="40">
        <v>8224602</v>
      </c>
      <c r="AC7" s="41">
        <v>185225</v>
      </c>
      <c r="AD7" s="40">
        <v>3404605</v>
      </c>
      <c r="AE7" s="40">
        <v>2245281</v>
      </c>
      <c r="AF7" s="40">
        <v>2344455</v>
      </c>
      <c r="AG7" s="41">
        <v>6495137</v>
      </c>
      <c r="AH7" s="7"/>
    </row>
    <row r="8" spans="1:35">
      <c r="A8" s="60" t="s">
        <v>67</v>
      </c>
      <c r="B8" s="38">
        <v>715479</v>
      </c>
      <c r="C8" s="38">
        <v>679489</v>
      </c>
      <c r="D8" s="38">
        <v>236208</v>
      </c>
      <c r="E8" s="39">
        <v>708743</v>
      </c>
      <c r="F8" s="38">
        <v>554967</v>
      </c>
      <c r="G8" s="38">
        <v>847330</v>
      </c>
      <c r="H8" s="38">
        <v>434415</v>
      </c>
      <c r="I8" s="39">
        <v>711542</v>
      </c>
      <c r="J8" s="38">
        <v>620215</v>
      </c>
      <c r="K8" s="38">
        <v>767656</v>
      </c>
      <c r="L8" s="38">
        <v>1341183</v>
      </c>
      <c r="M8" s="39">
        <v>1219873</v>
      </c>
      <c r="N8" s="38" t="s">
        <v>1</v>
      </c>
      <c r="O8" s="38" t="s">
        <v>1</v>
      </c>
      <c r="P8" s="38">
        <v>880295</v>
      </c>
      <c r="Q8" s="39">
        <v>750524</v>
      </c>
      <c r="R8" s="40" t="s">
        <v>1</v>
      </c>
      <c r="S8" s="40" t="s">
        <v>1</v>
      </c>
      <c r="T8" s="40" t="s">
        <v>1</v>
      </c>
      <c r="U8" s="41" t="s">
        <v>1</v>
      </c>
      <c r="V8" s="40" t="s">
        <v>1</v>
      </c>
      <c r="W8" s="40" t="s">
        <v>1</v>
      </c>
      <c r="X8" s="40" t="s">
        <v>1</v>
      </c>
      <c r="Y8" s="41" t="s">
        <v>1</v>
      </c>
      <c r="Z8" s="40" t="s">
        <v>1</v>
      </c>
      <c r="AA8" s="40" t="s">
        <v>1</v>
      </c>
      <c r="AB8" s="40" t="s">
        <v>1</v>
      </c>
      <c r="AC8" s="41" t="s">
        <v>1</v>
      </c>
      <c r="AD8" s="40" t="s">
        <v>1</v>
      </c>
      <c r="AE8" s="40" t="s">
        <v>1</v>
      </c>
      <c r="AF8" s="40" t="s">
        <v>1</v>
      </c>
      <c r="AG8" s="41" t="s">
        <v>1</v>
      </c>
      <c r="AH8" s="7"/>
    </row>
    <row r="9" spans="1:35" ht="27.6">
      <c r="A9" s="60" t="s">
        <v>68</v>
      </c>
      <c r="B9" s="38" t="s">
        <v>1</v>
      </c>
      <c r="C9" s="38" t="s">
        <v>1</v>
      </c>
      <c r="D9" s="38" t="s">
        <v>1</v>
      </c>
      <c r="E9" s="39" t="s">
        <v>1</v>
      </c>
      <c r="F9" s="38" t="s">
        <v>1</v>
      </c>
      <c r="G9" s="38" t="s">
        <v>1</v>
      </c>
      <c r="H9" s="38" t="s">
        <v>1</v>
      </c>
      <c r="I9" s="39" t="s">
        <v>1</v>
      </c>
      <c r="J9" s="38" t="s">
        <v>1</v>
      </c>
      <c r="K9" s="38" t="s">
        <v>1</v>
      </c>
      <c r="L9" s="38" t="s">
        <v>1</v>
      </c>
      <c r="M9" s="39" t="s">
        <v>1</v>
      </c>
      <c r="N9" s="38" t="s">
        <v>1</v>
      </c>
      <c r="O9" s="38" t="s">
        <v>1</v>
      </c>
      <c r="P9" s="38" t="s">
        <v>1</v>
      </c>
      <c r="Q9" s="39" t="s">
        <v>1</v>
      </c>
      <c r="R9" s="40" t="s">
        <v>1</v>
      </c>
      <c r="S9" s="40" t="s">
        <v>1</v>
      </c>
      <c r="T9" s="40" t="s">
        <v>1</v>
      </c>
      <c r="U9" s="41" t="s">
        <v>1</v>
      </c>
      <c r="V9" s="40" t="s">
        <v>1</v>
      </c>
      <c r="W9" s="40" t="s">
        <v>1</v>
      </c>
      <c r="X9" s="40" t="s">
        <v>1</v>
      </c>
      <c r="Y9" s="41" t="s">
        <v>1</v>
      </c>
      <c r="Z9" s="40" t="s">
        <v>1</v>
      </c>
      <c r="AA9" s="40" t="s">
        <v>1</v>
      </c>
      <c r="AB9" s="40" t="s">
        <v>1</v>
      </c>
      <c r="AC9" s="41" t="s">
        <v>1</v>
      </c>
      <c r="AD9" s="40" t="s">
        <v>1</v>
      </c>
      <c r="AE9" s="40" t="s">
        <v>1</v>
      </c>
      <c r="AF9" s="40" t="s">
        <v>1</v>
      </c>
      <c r="AG9" s="41" t="s">
        <v>1</v>
      </c>
      <c r="AH9" s="7"/>
    </row>
    <row r="10" spans="1:35">
      <c r="A10" s="60" t="s">
        <v>69</v>
      </c>
      <c r="B10" s="38">
        <v>111797</v>
      </c>
      <c r="C10" s="38">
        <v>123879</v>
      </c>
      <c r="D10" s="38">
        <v>511796</v>
      </c>
      <c r="E10" s="39">
        <v>144134</v>
      </c>
      <c r="F10" s="38">
        <v>557542</v>
      </c>
      <c r="G10" s="38">
        <v>137758</v>
      </c>
      <c r="H10" s="38">
        <v>124772</v>
      </c>
      <c r="I10" s="39">
        <v>118978</v>
      </c>
      <c r="J10" s="38">
        <v>137938</v>
      </c>
      <c r="K10" s="38">
        <v>969674</v>
      </c>
      <c r="L10" s="38">
        <v>144770</v>
      </c>
      <c r="M10" s="39">
        <v>157964</v>
      </c>
      <c r="N10" s="38">
        <v>185876</v>
      </c>
      <c r="O10" s="38">
        <v>212884</v>
      </c>
      <c r="P10" s="38">
        <v>207787</v>
      </c>
      <c r="Q10" s="39">
        <v>198119</v>
      </c>
      <c r="R10" s="40">
        <v>56690</v>
      </c>
      <c r="S10" s="40">
        <v>113308</v>
      </c>
      <c r="T10" s="40">
        <v>225886</v>
      </c>
      <c r="U10" s="41">
        <v>169333</v>
      </c>
      <c r="V10" s="40">
        <v>146853</v>
      </c>
      <c r="W10" s="40">
        <v>214917</v>
      </c>
      <c r="X10" s="40">
        <v>182399</v>
      </c>
      <c r="Y10" s="41">
        <v>424137</v>
      </c>
      <c r="Z10" s="40">
        <v>500905</v>
      </c>
      <c r="AA10" s="40">
        <v>304945</v>
      </c>
      <c r="AB10" s="40">
        <v>382330</v>
      </c>
      <c r="AC10" s="41">
        <v>1676806</v>
      </c>
      <c r="AD10" s="40">
        <v>664076</v>
      </c>
      <c r="AE10" s="40">
        <v>485200</v>
      </c>
      <c r="AF10" s="40">
        <v>676335</v>
      </c>
      <c r="AG10" s="41">
        <v>257913</v>
      </c>
      <c r="AH10" s="7"/>
    </row>
    <row r="11" spans="1:35">
      <c r="A11" s="61" t="s">
        <v>70</v>
      </c>
      <c r="B11" s="38">
        <v>550208</v>
      </c>
      <c r="C11" s="38">
        <v>618728</v>
      </c>
      <c r="D11" s="38"/>
      <c r="E11" s="39">
        <v>439068</v>
      </c>
      <c r="F11" s="38"/>
      <c r="G11" s="38">
        <v>558669</v>
      </c>
      <c r="H11" s="38">
        <v>602750</v>
      </c>
      <c r="I11" s="39">
        <v>454608</v>
      </c>
      <c r="J11" s="38">
        <v>477401</v>
      </c>
      <c r="K11" s="38"/>
      <c r="L11" s="38">
        <v>661050</v>
      </c>
      <c r="M11" s="39">
        <v>399451</v>
      </c>
      <c r="N11" s="38">
        <v>531181</v>
      </c>
      <c r="O11" s="38">
        <v>750567</v>
      </c>
      <c r="P11" s="38">
        <v>331736</v>
      </c>
      <c r="Q11" s="39">
        <v>334851</v>
      </c>
      <c r="R11" s="40" t="s">
        <v>1</v>
      </c>
      <c r="S11" s="40">
        <v>213924</v>
      </c>
      <c r="T11" s="40" t="s">
        <v>1</v>
      </c>
      <c r="U11" s="41" t="s">
        <v>1</v>
      </c>
      <c r="V11" s="40">
        <v>305261</v>
      </c>
      <c r="W11" s="40">
        <v>293395</v>
      </c>
      <c r="X11" s="40">
        <v>306110</v>
      </c>
      <c r="Y11" s="41">
        <v>326178</v>
      </c>
      <c r="Z11" s="40">
        <v>338236</v>
      </c>
      <c r="AA11" s="40">
        <v>335713</v>
      </c>
      <c r="AB11" s="40">
        <v>342531</v>
      </c>
      <c r="AC11" s="41">
        <v>344025</v>
      </c>
      <c r="AD11" s="40">
        <v>344625</v>
      </c>
      <c r="AE11" s="40">
        <v>350087</v>
      </c>
      <c r="AF11" s="40">
        <v>344063</v>
      </c>
      <c r="AG11" s="41">
        <v>352375</v>
      </c>
      <c r="AH11" s="7"/>
    </row>
    <row r="12" spans="1:35">
      <c r="A12" s="60" t="s">
        <v>71</v>
      </c>
      <c r="B12" s="38">
        <v>307942</v>
      </c>
      <c r="C12" s="38">
        <v>293434</v>
      </c>
      <c r="D12" s="38" t="s">
        <v>1</v>
      </c>
      <c r="E12" s="39">
        <v>321358</v>
      </c>
      <c r="F12" s="38" t="s">
        <v>1</v>
      </c>
      <c r="G12" s="38">
        <v>371845</v>
      </c>
      <c r="H12" s="38">
        <v>427048</v>
      </c>
      <c r="I12" s="39">
        <v>401990</v>
      </c>
      <c r="J12" s="38">
        <v>397323</v>
      </c>
      <c r="K12" s="38" t="s">
        <v>1</v>
      </c>
      <c r="L12" s="38">
        <v>420287</v>
      </c>
      <c r="M12" s="39">
        <v>226</v>
      </c>
      <c r="N12" s="38">
        <v>140</v>
      </c>
      <c r="O12" s="38">
        <v>13</v>
      </c>
      <c r="P12" s="38" t="s">
        <v>1</v>
      </c>
      <c r="Q12" s="39" t="s">
        <v>1</v>
      </c>
      <c r="R12" s="40">
        <v>610602</v>
      </c>
      <c r="S12" s="40">
        <v>675017</v>
      </c>
      <c r="T12" s="40">
        <v>779503</v>
      </c>
      <c r="U12" s="41">
        <v>795895</v>
      </c>
      <c r="V12" s="40">
        <v>798412</v>
      </c>
      <c r="W12" s="40">
        <v>798598</v>
      </c>
      <c r="X12" s="40">
        <v>901939</v>
      </c>
      <c r="Y12" s="41">
        <v>1090995</v>
      </c>
      <c r="Z12" s="40">
        <v>1158877</v>
      </c>
      <c r="AA12" s="40">
        <v>1227796</v>
      </c>
      <c r="AB12" s="40">
        <v>1419012</v>
      </c>
      <c r="AC12" s="41">
        <v>1570801</v>
      </c>
      <c r="AD12" s="40">
        <v>1433786</v>
      </c>
      <c r="AE12" s="40">
        <v>1381767</v>
      </c>
      <c r="AF12" s="40">
        <v>1450073</v>
      </c>
      <c r="AG12" s="41">
        <v>2442375</v>
      </c>
      <c r="AH12" s="7"/>
    </row>
    <row r="13" spans="1:35" ht="27.6">
      <c r="A13" s="60" t="s">
        <v>72</v>
      </c>
      <c r="B13" s="38" t="s">
        <v>1</v>
      </c>
      <c r="C13" s="38" t="s">
        <v>1</v>
      </c>
      <c r="D13" s="38" t="s">
        <v>1</v>
      </c>
      <c r="E13" s="39" t="s">
        <v>1</v>
      </c>
      <c r="F13" s="38" t="s">
        <v>1</v>
      </c>
      <c r="G13" s="38" t="s">
        <v>1</v>
      </c>
      <c r="H13" s="38" t="s">
        <v>1</v>
      </c>
      <c r="I13" s="39">
        <v>98650</v>
      </c>
      <c r="J13" s="38">
        <v>47832</v>
      </c>
      <c r="K13" s="38"/>
      <c r="L13" s="38">
        <v>75667</v>
      </c>
      <c r="M13" s="39">
        <v>137829</v>
      </c>
      <c r="N13" s="38">
        <v>133131</v>
      </c>
      <c r="O13" s="38">
        <v>108199</v>
      </c>
      <c r="P13" s="38">
        <v>96243</v>
      </c>
      <c r="Q13" s="39">
        <v>70795</v>
      </c>
      <c r="R13" s="40">
        <v>51039</v>
      </c>
      <c r="S13" s="40">
        <v>93243</v>
      </c>
      <c r="T13" s="40">
        <v>134022</v>
      </c>
      <c r="U13" s="41">
        <v>175685</v>
      </c>
      <c r="V13" s="40">
        <v>45437</v>
      </c>
      <c r="W13" s="40">
        <v>131228</v>
      </c>
      <c r="X13" s="40" t="s">
        <v>1</v>
      </c>
      <c r="Y13" s="41">
        <v>224425</v>
      </c>
      <c r="Z13" s="40">
        <v>105143</v>
      </c>
      <c r="AA13" s="40">
        <v>197606</v>
      </c>
      <c r="AB13" s="40">
        <v>130466</v>
      </c>
      <c r="AC13" s="41">
        <v>348052</v>
      </c>
      <c r="AD13" s="40">
        <v>356229</v>
      </c>
      <c r="AE13" s="40">
        <v>172116</v>
      </c>
      <c r="AF13" s="40">
        <v>314320</v>
      </c>
      <c r="AG13" s="41">
        <v>1158997</v>
      </c>
      <c r="AH13" s="7"/>
    </row>
    <row r="14" spans="1:35">
      <c r="A14" s="60" t="s">
        <v>73</v>
      </c>
      <c r="B14" s="38">
        <v>299857</v>
      </c>
      <c r="C14" s="38">
        <v>320840</v>
      </c>
      <c r="D14" s="38">
        <v>223680</v>
      </c>
      <c r="E14" s="39">
        <v>400698</v>
      </c>
      <c r="F14" s="38">
        <v>244157</v>
      </c>
      <c r="G14" s="38">
        <v>419350</v>
      </c>
      <c r="H14" s="38">
        <v>471008</v>
      </c>
      <c r="I14" s="39">
        <v>532175</v>
      </c>
      <c r="J14" s="38">
        <v>523997</v>
      </c>
      <c r="K14" s="38">
        <v>279215</v>
      </c>
      <c r="L14" s="38">
        <v>592653</v>
      </c>
      <c r="M14" s="39">
        <v>581740</v>
      </c>
      <c r="N14" s="38">
        <v>569998</v>
      </c>
      <c r="O14" s="38">
        <v>655059</v>
      </c>
      <c r="P14" s="38">
        <v>692727</v>
      </c>
      <c r="Q14" s="39">
        <v>791440</v>
      </c>
      <c r="R14" s="40" t="s">
        <v>1</v>
      </c>
      <c r="S14" s="40" t="s">
        <v>1</v>
      </c>
      <c r="T14" s="40" t="s">
        <v>1</v>
      </c>
      <c r="U14" s="41" t="s">
        <v>1</v>
      </c>
      <c r="V14" s="40" t="s">
        <v>1</v>
      </c>
      <c r="W14" s="40" t="s">
        <v>1</v>
      </c>
      <c r="X14" s="40" t="s">
        <v>1</v>
      </c>
      <c r="Y14" s="41" t="s">
        <v>1</v>
      </c>
      <c r="Z14" s="40" t="s">
        <v>1</v>
      </c>
      <c r="AA14" s="40" t="s">
        <v>1</v>
      </c>
      <c r="AB14" s="40" t="s">
        <v>1</v>
      </c>
      <c r="AC14" s="41" t="s">
        <v>1</v>
      </c>
      <c r="AD14" s="40" t="s">
        <v>1</v>
      </c>
      <c r="AE14" s="40" t="s">
        <v>1</v>
      </c>
      <c r="AF14" s="40" t="s">
        <v>1</v>
      </c>
      <c r="AG14" s="41" t="s">
        <v>1</v>
      </c>
      <c r="AH14" s="7"/>
    </row>
    <row r="15" spans="1:35" ht="41.4">
      <c r="A15" s="60" t="s">
        <v>74</v>
      </c>
      <c r="B15" s="38">
        <v>21722</v>
      </c>
      <c r="C15" s="38">
        <v>34161</v>
      </c>
      <c r="D15" s="38">
        <v>44167</v>
      </c>
      <c r="E15" s="39">
        <v>32315</v>
      </c>
      <c r="F15" s="38">
        <v>55111</v>
      </c>
      <c r="G15" s="38">
        <v>43172</v>
      </c>
      <c r="H15" s="38">
        <v>49285</v>
      </c>
      <c r="I15" s="39">
        <v>36472</v>
      </c>
      <c r="J15" s="38">
        <v>16333</v>
      </c>
      <c r="K15" s="38">
        <v>50586</v>
      </c>
      <c r="L15" s="38">
        <v>55184</v>
      </c>
      <c r="M15" s="39">
        <v>27851</v>
      </c>
      <c r="N15" s="38">
        <v>32450</v>
      </c>
      <c r="O15" s="38">
        <v>73716</v>
      </c>
      <c r="P15" s="38">
        <v>38216</v>
      </c>
      <c r="Q15" s="39">
        <v>56271</v>
      </c>
      <c r="R15" s="48" t="s">
        <v>1</v>
      </c>
      <c r="S15" s="48" t="s">
        <v>1</v>
      </c>
      <c r="T15" s="48" t="s">
        <v>1</v>
      </c>
      <c r="U15" s="49" t="s">
        <v>1</v>
      </c>
      <c r="V15" s="48" t="s">
        <v>1</v>
      </c>
      <c r="W15" s="48" t="s">
        <v>1</v>
      </c>
      <c r="X15" s="48" t="s">
        <v>1</v>
      </c>
      <c r="Y15" s="49" t="s">
        <v>1</v>
      </c>
      <c r="Z15" s="48" t="s">
        <v>1</v>
      </c>
      <c r="AA15" s="48" t="s">
        <v>1</v>
      </c>
      <c r="AB15" s="48" t="s">
        <v>1</v>
      </c>
      <c r="AC15" s="49" t="s">
        <v>1</v>
      </c>
      <c r="AD15" s="48" t="s">
        <v>1</v>
      </c>
      <c r="AE15" s="48" t="s">
        <v>1</v>
      </c>
      <c r="AF15" s="48" t="s">
        <v>1</v>
      </c>
      <c r="AG15" s="49" t="s">
        <v>1</v>
      </c>
      <c r="AH15" s="7"/>
    </row>
    <row r="16" spans="1:35" ht="41.4">
      <c r="A16" s="60" t="s">
        <v>75</v>
      </c>
      <c r="B16" s="46" t="s">
        <v>1</v>
      </c>
      <c r="C16" s="46" t="s">
        <v>1</v>
      </c>
      <c r="D16" s="46" t="s">
        <v>1</v>
      </c>
      <c r="E16" s="47" t="s">
        <v>1</v>
      </c>
      <c r="F16" s="46" t="s">
        <v>1</v>
      </c>
      <c r="G16" s="46" t="s">
        <v>1</v>
      </c>
      <c r="H16" s="46" t="s">
        <v>1</v>
      </c>
      <c r="I16" s="47" t="s">
        <v>1</v>
      </c>
      <c r="J16" s="46" t="s">
        <v>1</v>
      </c>
      <c r="K16" s="46" t="s">
        <v>1</v>
      </c>
      <c r="L16" s="46" t="s">
        <v>1</v>
      </c>
      <c r="M16" s="47" t="s">
        <v>1</v>
      </c>
      <c r="N16" s="46" t="s">
        <v>1</v>
      </c>
      <c r="O16" s="46" t="s">
        <v>1</v>
      </c>
      <c r="P16" s="46" t="s">
        <v>1</v>
      </c>
      <c r="Q16" s="47" t="s">
        <v>1</v>
      </c>
      <c r="R16" s="40">
        <v>1394348</v>
      </c>
      <c r="S16" s="40">
        <v>1643969</v>
      </c>
      <c r="T16" s="40">
        <v>2116242</v>
      </c>
      <c r="U16" s="41">
        <v>1901210</v>
      </c>
      <c r="V16" s="40">
        <v>1986689</v>
      </c>
      <c r="W16" s="40">
        <v>2072793</v>
      </c>
      <c r="X16" s="40">
        <v>3147163</v>
      </c>
      <c r="Y16" s="41">
        <v>3380983</v>
      </c>
      <c r="Z16" s="40">
        <v>3661344</v>
      </c>
      <c r="AA16" s="40">
        <v>3896913</v>
      </c>
      <c r="AB16" s="40">
        <v>4720851</v>
      </c>
      <c r="AC16" s="41">
        <v>4590265</v>
      </c>
      <c r="AD16" s="40">
        <v>2108658</v>
      </c>
      <c r="AE16" s="40">
        <v>2254714</v>
      </c>
      <c r="AF16" s="40">
        <v>5373933</v>
      </c>
      <c r="AG16" s="41">
        <v>8100496</v>
      </c>
      <c r="AH16" s="7"/>
    </row>
    <row r="17" spans="1:34">
      <c r="A17" s="60" t="s">
        <v>59</v>
      </c>
      <c r="B17" s="38">
        <v>438224</v>
      </c>
      <c r="C17" s="38">
        <v>430802</v>
      </c>
      <c r="D17" s="38">
        <v>469032</v>
      </c>
      <c r="E17" s="39">
        <v>464592</v>
      </c>
      <c r="F17" s="38">
        <v>531545</v>
      </c>
      <c r="G17" s="38">
        <v>538000</v>
      </c>
      <c r="H17" s="38">
        <v>608752</v>
      </c>
      <c r="I17" s="39">
        <v>589734</v>
      </c>
      <c r="J17" s="38">
        <v>1567574</v>
      </c>
      <c r="K17" s="38">
        <v>1218580</v>
      </c>
      <c r="L17" s="38">
        <v>1657907</v>
      </c>
      <c r="M17" s="39">
        <v>1981646</v>
      </c>
      <c r="N17" s="38">
        <v>1284946</v>
      </c>
      <c r="O17" s="38">
        <v>1267450</v>
      </c>
      <c r="P17" s="38">
        <v>1254536</v>
      </c>
      <c r="Q17" s="39">
        <v>1360338</v>
      </c>
      <c r="R17" s="40">
        <v>853292</v>
      </c>
      <c r="S17" s="40">
        <v>719162</v>
      </c>
      <c r="T17" s="40">
        <v>657235</v>
      </c>
      <c r="U17" s="41">
        <v>1434479</v>
      </c>
      <c r="V17" s="40">
        <v>793918</v>
      </c>
      <c r="W17" s="40">
        <v>785024</v>
      </c>
      <c r="X17" s="40">
        <v>1470336</v>
      </c>
      <c r="Y17" s="41">
        <v>1285273</v>
      </c>
      <c r="Z17" s="40">
        <v>1357717</v>
      </c>
      <c r="AA17" s="40">
        <v>2001849</v>
      </c>
      <c r="AB17" s="40">
        <v>2105313</v>
      </c>
      <c r="AC17" s="41">
        <v>1818168</v>
      </c>
      <c r="AD17" s="40">
        <v>2711630</v>
      </c>
      <c r="AE17" s="40">
        <v>3435979</v>
      </c>
      <c r="AF17" s="40">
        <v>3319649</v>
      </c>
      <c r="AG17" s="41">
        <v>4376751</v>
      </c>
      <c r="AH17" s="7"/>
    </row>
    <row r="18" spans="1:34">
      <c r="A18" s="57" t="s">
        <v>61</v>
      </c>
      <c r="B18" s="42">
        <f t="shared" ref="B18:H18" si="0">SUM(B5:B15)</f>
        <v>24924861</v>
      </c>
      <c r="C18" s="42">
        <f t="shared" si="0"/>
        <v>27225984</v>
      </c>
      <c r="D18" s="42">
        <f t="shared" si="0"/>
        <v>19591804</v>
      </c>
      <c r="E18" s="43">
        <f t="shared" si="0"/>
        <v>30520713</v>
      </c>
      <c r="F18" s="42">
        <f t="shared" si="0"/>
        <v>22471398</v>
      </c>
      <c r="G18" s="42">
        <f t="shared" si="0"/>
        <v>35930460</v>
      </c>
      <c r="H18" s="42">
        <f t="shared" si="0"/>
        <v>39018518</v>
      </c>
      <c r="I18" s="43">
        <f>SUM(I5:I17)</f>
        <v>38650017</v>
      </c>
      <c r="J18" s="42">
        <f>SUM(J5:J17)</f>
        <v>38800429</v>
      </c>
      <c r="K18" s="42">
        <f>SUM(K5:K15)</f>
        <v>25973196</v>
      </c>
      <c r="L18" s="42">
        <f t="shared" ref="L18:AG18" si="1">SUM(L5:L17)</f>
        <v>41347977</v>
      </c>
      <c r="M18" s="43">
        <f t="shared" si="1"/>
        <v>44564891</v>
      </c>
      <c r="N18" s="42">
        <f t="shared" si="1"/>
        <v>45374128</v>
      </c>
      <c r="O18" s="42">
        <f t="shared" si="1"/>
        <v>47726986</v>
      </c>
      <c r="P18" s="42">
        <f t="shared" si="1"/>
        <v>50060597</v>
      </c>
      <c r="Q18" s="43">
        <f t="shared" si="1"/>
        <v>52531944</v>
      </c>
      <c r="R18" s="42">
        <f t="shared" si="1"/>
        <v>55814067</v>
      </c>
      <c r="S18" s="42">
        <f t="shared" si="1"/>
        <v>62261707</v>
      </c>
      <c r="T18" s="42">
        <f t="shared" si="1"/>
        <v>71662662</v>
      </c>
      <c r="U18" s="43">
        <f t="shared" si="1"/>
        <v>68793772</v>
      </c>
      <c r="V18" s="42">
        <f t="shared" si="1"/>
        <v>77886817</v>
      </c>
      <c r="W18" s="42">
        <f t="shared" si="1"/>
        <v>80937188</v>
      </c>
      <c r="X18" s="42">
        <f t="shared" si="1"/>
        <v>89488294</v>
      </c>
      <c r="Y18" s="43">
        <f t="shared" si="1"/>
        <v>97618055</v>
      </c>
      <c r="Z18" s="42">
        <f t="shared" si="1"/>
        <v>111480521</v>
      </c>
      <c r="AA18" s="42">
        <f t="shared" si="1"/>
        <v>126096792</v>
      </c>
      <c r="AB18" s="42">
        <f t="shared" si="1"/>
        <v>145587677</v>
      </c>
      <c r="AC18" s="43">
        <f t="shared" si="1"/>
        <v>144295218</v>
      </c>
      <c r="AD18" s="42">
        <f t="shared" si="1"/>
        <v>155435151</v>
      </c>
      <c r="AE18" s="42">
        <f t="shared" si="1"/>
        <v>168728087</v>
      </c>
      <c r="AF18" s="42">
        <f t="shared" si="1"/>
        <v>177555180</v>
      </c>
      <c r="AG18" s="43">
        <f t="shared" si="1"/>
        <v>243611407</v>
      </c>
      <c r="AH18" s="7"/>
    </row>
    <row r="19" spans="1:34" s="18" customFormat="1">
      <c r="A19" s="58" t="s">
        <v>45</v>
      </c>
      <c r="B19" s="53">
        <f t="shared" ref="B19:AG19" si="2">B18+B4</f>
        <v>27309626</v>
      </c>
      <c r="C19" s="53">
        <f t="shared" si="2"/>
        <v>30080066</v>
      </c>
      <c r="D19" s="53">
        <f t="shared" si="2"/>
        <v>21251577</v>
      </c>
      <c r="E19" s="55">
        <f t="shared" si="2"/>
        <v>33543583</v>
      </c>
      <c r="F19" s="53">
        <f t="shared" si="2"/>
        <v>24285935</v>
      </c>
      <c r="G19" s="53">
        <f t="shared" si="2"/>
        <v>39122725</v>
      </c>
      <c r="H19" s="53">
        <f t="shared" si="2"/>
        <v>40986800</v>
      </c>
      <c r="I19" s="55">
        <f t="shared" si="2"/>
        <v>42052507</v>
      </c>
      <c r="J19" s="53">
        <f t="shared" si="2"/>
        <v>42331036</v>
      </c>
      <c r="K19" s="53">
        <f t="shared" si="2"/>
        <v>28145147</v>
      </c>
      <c r="L19" s="53">
        <f t="shared" si="2"/>
        <v>45201231</v>
      </c>
      <c r="M19" s="55">
        <f t="shared" si="2"/>
        <v>48476955</v>
      </c>
      <c r="N19" s="53">
        <f t="shared" si="2"/>
        <v>49453260</v>
      </c>
      <c r="O19" s="53">
        <f t="shared" si="2"/>
        <v>52022251</v>
      </c>
      <c r="P19" s="53">
        <f t="shared" si="2"/>
        <v>54569619</v>
      </c>
      <c r="Q19" s="55">
        <f t="shared" si="2"/>
        <v>57123095</v>
      </c>
      <c r="R19" s="53">
        <f t="shared" si="2"/>
        <v>60654202</v>
      </c>
      <c r="S19" s="53">
        <f t="shared" si="2"/>
        <v>67302480</v>
      </c>
      <c r="T19" s="53">
        <f t="shared" si="2"/>
        <v>76854901</v>
      </c>
      <c r="U19" s="55">
        <f t="shared" si="2"/>
        <v>74232325</v>
      </c>
      <c r="V19" s="53">
        <f t="shared" si="2"/>
        <v>83569920</v>
      </c>
      <c r="W19" s="53">
        <f t="shared" si="2"/>
        <v>86979765</v>
      </c>
      <c r="X19" s="53">
        <f t="shared" si="2"/>
        <v>95860200</v>
      </c>
      <c r="Y19" s="55">
        <f t="shared" si="2"/>
        <v>104439345</v>
      </c>
      <c r="Z19" s="53">
        <f t="shared" si="2"/>
        <v>118305650</v>
      </c>
      <c r="AA19" s="53">
        <f t="shared" si="2"/>
        <v>133612775</v>
      </c>
      <c r="AB19" s="53">
        <f t="shared" si="2"/>
        <v>153119720</v>
      </c>
      <c r="AC19" s="55">
        <f t="shared" si="2"/>
        <v>152290315</v>
      </c>
      <c r="AD19" s="53">
        <f t="shared" si="2"/>
        <v>163619740</v>
      </c>
      <c r="AE19" s="53">
        <f t="shared" si="2"/>
        <v>177626340</v>
      </c>
      <c r="AF19" s="53">
        <f t="shared" si="2"/>
        <v>186903445</v>
      </c>
      <c r="AG19" s="55">
        <f t="shared" si="2"/>
        <v>254068260</v>
      </c>
      <c r="AH19" s="14"/>
    </row>
    <row r="20" spans="1:34" s="33" customFormat="1">
      <c r="A20" s="62" t="s">
        <v>40</v>
      </c>
      <c r="B20" s="50">
        <f t="shared" ref="B20:AG20" si="3">B18+B4</f>
        <v>27309626</v>
      </c>
      <c r="C20" s="50">
        <f t="shared" si="3"/>
        <v>30080066</v>
      </c>
      <c r="D20" s="50">
        <f t="shared" si="3"/>
        <v>21251577</v>
      </c>
      <c r="E20" s="51">
        <f t="shared" si="3"/>
        <v>33543583</v>
      </c>
      <c r="F20" s="50">
        <f t="shared" si="3"/>
        <v>24285935</v>
      </c>
      <c r="G20" s="50">
        <f t="shared" si="3"/>
        <v>39122725</v>
      </c>
      <c r="H20" s="50">
        <f t="shared" si="3"/>
        <v>40986800</v>
      </c>
      <c r="I20" s="51">
        <f t="shared" si="3"/>
        <v>42052507</v>
      </c>
      <c r="J20" s="50">
        <f t="shared" si="3"/>
        <v>42331036</v>
      </c>
      <c r="K20" s="50">
        <f t="shared" si="3"/>
        <v>28145147</v>
      </c>
      <c r="L20" s="50">
        <f t="shared" si="3"/>
        <v>45201231</v>
      </c>
      <c r="M20" s="51">
        <f t="shared" si="3"/>
        <v>48476955</v>
      </c>
      <c r="N20" s="50">
        <f t="shared" si="3"/>
        <v>49453260</v>
      </c>
      <c r="O20" s="50">
        <f t="shared" si="3"/>
        <v>52022251</v>
      </c>
      <c r="P20" s="50">
        <f t="shared" si="3"/>
        <v>54569619</v>
      </c>
      <c r="Q20" s="51">
        <f t="shared" si="3"/>
        <v>57123095</v>
      </c>
      <c r="R20" s="50">
        <f t="shared" si="3"/>
        <v>60654202</v>
      </c>
      <c r="S20" s="50">
        <f t="shared" si="3"/>
        <v>67302480</v>
      </c>
      <c r="T20" s="50">
        <f t="shared" si="3"/>
        <v>76854901</v>
      </c>
      <c r="U20" s="51">
        <f t="shared" si="3"/>
        <v>74232325</v>
      </c>
      <c r="V20" s="50">
        <f t="shared" si="3"/>
        <v>83569920</v>
      </c>
      <c r="W20" s="50">
        <f t="shared" si="3"/>
        <v>86979765</v>
      </c>
      <c r="X20" s="50">
        <f t="shared" si="3"/>
        <v>95860200</v>
      </c>
      <c r="Y20" s="51">
        <f t="shared" si="3"/>
        <v>104439345</v>
      </c>
      <c r="Z20" s="50">
        <f t="shared" si="3"/>
        <v>118305650</v>
      </c>
      <c r="AA20" s="50">
        <f t="shared" si="3"/>
        <v>133612775</v>
      </c>
      <c r="AB20" s="50">
        <f t="shared" si="3"/>
        <v>153119720</v>
      </c>
      <c r="AC20" s="51">
        <f t="shared" si="3"/>
        <v>152290315</v>
      </c>
      <c r="AD20" s="50">
        <f t="shared" si="3"/>
        <v>163619740</v>
      </c>
      <c r="AE20" s="50">
        <f t="shared" si="3"/>
        <v>177626340</v>
      </c>
      <c r="AF20" s="50">
        <f t="shared" si="3"/>
        <v>186903445</v>
      </c>
      <c r="AG20" s="51">
        <f t="shared" si="3"/>
        <v>254068260</v>
      </c>
      <c r="AH20" s="52"/>
    </row>
    <row r="21" spans="1:34" s="33" customFormat="1" ht="20.399999999999999">
      <c r="A21" s="82" t="s">
        <v>136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</row>
    <row r="22" spans="1:34">
      <c r="A22" s="79" t="s">
        <v>41</v>
      </c>
      <c r="B22" s="2">
        <v>14.14</v>
      </c>
      <c r="C22" s="2">
        <v>15.63</v>
      </c>
      <c r="D22" s="2">
        <v>15.12</v>
      </c>
      <c r="E22" s="17">
        <v>15.09</v>
      </c>
      <c r="F22" s="2">
        <v>14.77</v>
      </c>
      <c r="G22" s="2">
        <v>14.12</v>
      </c>
      <c r="H22" s="2">
        <v>13.61</v>
      </c>
      <c r="I22" s="17">
        <v>14.23</v>
      </c>
      <c r="J22" s="2">
        <v>16.95</v>
      </c>
      <c r="K22" s="2">
        <v>17.010000000000002</v>
      </c>
      <c r="L22" s="2">
        <v>16.989999999999998</v>
      </c>
      <c r="M22" s="17">
        <v>18.16</v>
      </c>
      <c r="N22" s="2">
        <v>17.5</v>
      </c>
      <c r="O22" s="2">
        <v>17.91</v>
      </c>
      <c r="P22" s="2">
        <v>17.37</v>
      </c>
      <c r="Q22" s="17">
        <v>17.66</v>
      </c>
      <c r="R22" s="2">
        <v>16.02</v>
      </c>
      <c r="S22" s="2">
        <v>16.059999999999999</v>
      </c>
      <c r="T22" s="2">
        <v>19.03</v>
      </c>
      <c r="U22" s="17">
        <v>17.68</v>
      </c>
      <c r="V22" s="2">
        <v>16.43</v>
      </c>
      <c r="W22" s="2">
        <v>16.95</v>
      </c>
      <c r="X22" s="2">
        <v>19.420000000000002</v>
      </c>
      <c r="Y22" s="17">
        <v>19.32</v>
      </c>
      <c r="Z22" s="2">
        <v>21.47</v>
      </c>
      <c r="AA22" s="2">
        <v>22.26</v>
      </c>
      <c r="AB22" s="2">
        <v>22.65</v>
      </c>
      <c r="AC22" s="17">
        <v>21.26</v>
      </c>
      <c r="AD22" s="2">
        <v>15.32</v>
      </c>
      <c r="AE22" s="2">
        <v>15.67</v>
      </c>
      <c r="AF22" s="2">
        <v>19.670000000000002</v>
      </c>
      <c r="AG22" s="17">
        <v>23.05</v>
      </c>
    </row>
    <row r="23" spans="1:34">
      <c r="A23" s="79" t="s">
        <v>62</v>
      </c>
      <c r="B23" s="2">
        <f t="shared" ref="B23:AG23" si="4">B4/B19*100</f>
        <v>8.7323239065961573</v>
      </c>
      <c r="C23" s="2">
        <f t="shared" si="4"/>
        <v>9.488283702569003</v>
      </c>
      <c r="D23" s="2">
        <f t="shared" si="4"/>
        <v>7.8101168680328996</v>
      </c>
      <c r="E23" s="17">
        <f t="shared" si="4"/>
        <v>9.0117683611795432</v>
      </c>
      <c r="F23" s="2">
        <f t="shared" si="4"/>
        <v>7.4715550379262723</v>
      </c>
      <c r="G23" s="2">
        <f t="shared" si="4"/>
        <v>8.159618227002337</v>
      </c>
      <c r="H23" s="2">
        <f t="shared" si="4"/>
        <v>4.8022338899352963</v>
      </c>
      <c r="I23" s="17">
        <f t="shared" si="4"/>
        <v>8.0910515037783597</v>
      </c>
      <c r="J23" s="2">
        <f t="shared" si="4"/>
        <v>8.3404691536488738</v>
      </c>
      <c r="K23" s="2">
        <f t="shared" si="4"/>
        <v>7.7169644912495921</v>
      </c>
      <c r="L23" s="2">
        <f t="shared" si="4"/>
        <v>8.5246660649573904</v>
      </c>
      <c r="M23" s="17">
        <f t="shared" si="4"/>
        <v>8.0699458123968384</v>
      </c>
      <c r="N23" s="2">
        <f t="shared" si="4"/>
        <v>8.2484592522312994</v>
      </c>
      <c r="O23" s="2">
        <f t="shared" si="4"/>
        <v>8.2565919725388284</v>
      </c>
      <c r="P23" s="2">
        <f t="shared" si="4"/>
        <v>8.2628797536592664</v>
      </c>
      <c r="Q23" s="17">
        <f t="shared" si="4"/>
        <v>8.0372938476110232</v>
      </c>
      <c r="R23" s="2">
        <f t="shared" si="4"/>
        <v>7.9798840647511939</v>
      </c>
      <c r="S23" s="2">
        <f t="shared" si="4"/>
        <v>7.4897284617149325</v>
      </c>
      <c r="T23" s="2">
        <f t="shared" si="4"/>
        <v>6.7558983648941267</v>
      </c>
      <c r="U23" s="17">
        <f t="shared" si="4"/>
        <v>7.3263945323011237</v>
      </c>
      <c r="V23" s="2">
        <f t="shared" si="4"/>
        <v>6.8004169442785161</v>
      </c>
      <c r="W23" s="2">
        <f t="shared" si="4"/>
        <v>6.9471066057720439</v>
      </c>
      <c r="X23" s="2">
        <f t="shared" si="4"/>
        <v>6.6470818963448846</v>
      </c>
      <c r="Y23" s="17">
        <f t="shared" si="4"/>
        <v>6.5313412296869533</v>
      </c>
      <c r="Z23" s="2">
        <f t="shared" si="4"/>
        <v>5.7690642839120532</v>
      </c>
      <c r="AA23" s="2">
        <f t="shared" si="4"/>
        <v>5.625197889947275</v>
      </c>
      <c r="AB23" s="2">
        <f t="shared" si="4"/>
        <v>4.9190548415318416</v>
      </c>
      <c r="AC23" s="17">
        <f t="shared" si="4"/>
        <v>5.2499050908128986</v>
      </c>
      <c r="AD23" s="2">
        <f t="shared" si="4"/>
        <v>5.002201445864662</v>
      </c>
      <c r="AE23" s="2">
        <f t="shared" si="4"/>
        <v>5.0095346219485242</v>
      </c>
      <c r="AF23" s="2">
        <f t="shared" si="4"/>
        <v>5.001654731404229</v>
      </c>
      <c r="AG23" s="17">
        <f t="shared" si="4"/>
        <v>4.1157651884576216</v>
      </c>
    </row>
    <row r="24" spans="1:34">
      <c r="A24" s="79" t="s">
        <v>46</v>
      </c>
      <c r="B24" s="2">
        <f t="shared" ref="B24:AG24" si="5">B18/B4</f>
        <v>10.45170530429623</v>
      </c>
      <c r="C24" s="2">
        <f t="shared" si="5"/>
        <v>9.5393138669456583</v>
      </c>
      <c r="D24" s="2">
        <f t="shared" si="5"/>
        <v>11.803905714817629</v>
      </c>
      <c r="E24" s="17">
        <f t="shared" si="5"/>
        <v>10.096601243189419</v>
      </c>
      <c r="F24" s="2">
        <f t="shared" si="5"/>
        <v>12.384094675391022</v>
      </c>
      <c r="G24" s="2">
        <f t="shared" si="5"/>
        <v>11.255475344308822</v>
      </c>
      <c r="H24" s="2">
        <f t="shared" si="5"/>
        <v>19.823642140709513</v>
      </c>
      <c r="I24" s="17">
        <f t="shared" si="5"/>
        <v>11.359333017878084</v>
      </c>
      <c r="J24" s="2">
        <f t="shared" si="5"/>
        <v>10.989733210181706</v>
      </c>
      <c r="K24" s="2">
        <f t="shared" si="5"/>
        <v>11.958463151332603</v>
      </c>
      <c r="L24" s="2">
        <f t="shared" si="5"/>
        <v>10.730664783582915</v>
      </c>
      <c r="M24" s="17">
        <f t="shared" si="5"/>
        <v>11.391656936082846</v>
      </c>
      <c r="N24" s="2">
        <f t="shared" si="5"/>
        <v>11.123476268970947</v>
      </c>
      <c r="O24" s="2">
        <f t="shared" si="5"/>
        <v>11.111534678302736</v>
      </c>
      <c r="P24" s="2">
        <f t="shared" si="5"/>
        <v>11.102318196717603</v>
      </c>
      <c r="Q24" s="17">
        <f t="shared" si="5"/>
        <v>11.441998749333228</v>
      </c>
      <c r="R24" s="2">
        <f t="shared" si="5"/>
        <v>11.531510381425312</v>
      </c>
      <c r="S24" s="2">
        <f t="shared" si="5"/>
        <v>12.351618888610933</v>
      </c>
      <c r="T24" s="2">
        <f t="shared" si="5"/>
        <v>13.801880460433351</v>
      </c>
      <c r="U24" s="17">
        <f t="shared" si="5"/>
        <v>12.649278585682625</v>
      </c>
      <c r="V24" s="2">
        <f t="shared" si="5"/>
        <v>13.704980712121529</v>
      </c>
      <c r="W24" s="2">
        <f t="shared" si="5"/>
        <v>13.394481857657752</v>
      </c>
      <c r="X24" s="2">
        <f t="shared" si="5"/>
        <v>14.044195567229021</v>
      </c>
      <c r="Y24" s="17">
        <f t="shared" si="5"/>
        <v>14.310790920778913</v>
      </c>
      <c r="Z24" s="2">
        <f t="shared" si="5"/>
        <v>16.333833543659029</v>
      </c>
      <c r="AA24" s="2">
        <f t="shared" si="5"/>
        <v>16.777152369823082</v>
      </c>
      <c r="AB24" s="2">
        <f t="shared" si="5"/>
        <v>19.329108583155993</v>
      </c>
      <c r="AC24" s="17">
        <f t="shared" si="5"/>
        <v>18.047963395566057</v>
      </c>
      <c r="AD24" s="2">
        <f t="shared" si="5"/>
        <v>18.991198091926179</v>
      </c>
      <c r="AE24" s="2">
        <f t="shared" si="5"/>
        <v>18.96193410099713</v>
      </c>
      <c r="AF24" s="2">
        <f t="shared" si="5"/>
        <v>18.9933832641672</v>
      </c>
      <c r="AG24" s="17">
        <f t="shared" si="5"/>
        <v>23.296818555257495</v>
      </c>
    </row>
    <row r="25" spans="1:34">
      <c r="A25" s="79" t="s">
        <v>47</v>
      </c>
      <c r="B25" s="2">
        <f t="shared" ref="B25:AG25" si="6">B19/B4</f>
        <v>11.45170530429623</v>
      </c>
      <c r="C25" s="2">
        <f t="shared" si="6"/>
        <v>10.539313866945658</v>
      </c>
      <c r="D25" s="2">
        <f t="shared" si="6"/>
        <v>12.803905714817629</v>
      </c>
      <c r="E25" s="17">
        <f t="shared" si="6"/>
        <v>11.096601243189419</v>
      </c>
      <c r="F25" s="2">
        <f t="shared" si="6"/>
        <v>13.384094675391022</v>
      </c>
      <c r="G25" s="2">
        <f t="shared" si="6"/>
        <v>12.255475344308822</v>
      </c>
      <c r="H25" s="2">
        <f t="shared" si="6"/>
        <v>20.823642140709513</v>
      </c>
      <c r="I25" s="17">
        <f t="shared" si="6"/>
        <v>12.359333017878084</v>
      </c>
      <c r="J25" s="2">
        <f t="shared" si="6"/>
        <v>11.989733210181706</v>
      </c>
      <c r="K25" s="2">
        <f t="shared" si="6"/>
        <v>12.958463151332603</v>
      </c>
      <c r="L25" s="2">
        <f t="shared" si="6"/>
        <v>11.730664783582915</v>
      </c>
      <c r="M25" s="17">
        <f t="shared" si="6"/>
        <v>12.391656936082846</v>
      </c>
      <c r="N25" s="2">
        <f t="shared" si="6"/>
        <v>12.123476268970947</v>
      </c>
      <c r="O25" s="2">
        <f t="shared" si="6"/>
        <v>12.111534678302736</v>
      </c>
      <c r="P25" s="2">
        <f t="shared" si="6"/>
        <v>12.102318196717603</v>
      </c>
      <c r="Q25" s="17">
        <f t="shared" si="6"/>
        <v>12.441998749333228</v>
      </c>
      <c r="R25" s="2">
        <f t="shared" si="6"/>
        <v>12.531510381425312</v>
      </c>
      <c r="S25" s="2">
        <f t="shared" si="6"/>
        <v>13.351618888610933</v>
      </c>
      <c r="T25" s="2">
        <f t="shared" si="6"/>
        <v>14.801880460433351</v>
      </c>
      <c r="U25" s="17">
        <f t="shared" si="6"/>
        <v>13.649278585682625</v>
      </c>
      <c r="V25" s="2">
        <f t="shared" si="6"/>
        <v>14.704980712121529</v>
      </c>
      <c r="W25" s="2">
        <f t="shared" si="6"/>
        <v>14.394481857657752</v>
      </c>
      <c r="X25" s="2">
        <f t="shared" si="6"/>
        <v>15.044195567229021</v>
      </c>
      <c r="Y25" s="17">
        <f t="shared" si="6"/>
        <v>15.310790920778913</v>
      </c>
      <c r="Z25" s="2">
        <f t="shared" si="6"/>
        <v>17.333833543659029</v>
      </c>
      <c r="AA25" s="2">
        <f t="shared" si="6"/>
        <v>17.777152369823082</v>
      </c>
      <c r="AB25" s="2">
        <f t="shared" si="6"/>
        <v>20.329108583155993</v>
      </c>
      <c r="AC25" s="17">
        <f t="shared" si="6"/>
        <v>19.047963395566057</v>
      </c>
      <c r="AD25" s="2">
        <f t="shared" si="6"/>
        <v>19.991198091926179</v>
      </c>
      <c r="AE25" s="2">
        <f t="shared" si="6"/>
        <v>19.96193410099713</v>
      </c>
      <c r="AF25" s="2">
        <f t="shared" si="6"/>
        <v>19.9933832641672</v>
      </c>
      <c r="AG25" s="17">
        <f t="shared" si="6"/>
        <v>24.296818555257495</v>
      </c>
    </row>
    <row r="26" spans="1:34" s="16" customFormat="1">
      <c r="A26" s="79" t="s">
        <v>63</v>
      </c>
      <c r="B26" s="15">
        <f t="shared" ref="B26:AG26" si="7">B4/B18*100</f>
        <v>9.5678166470015622</v>
      </c>
      <c r="C26" s="15">
        <f t="shared" si="7"/>
        <v>10.482934243992798</v>
      </c>
      <c r="D26" s="15">
        <f t="shared" si="7"/>
        <v>8.4717721757526778</v>
      </c>
      <c r="E26" s="8">
        <f t="shared" si="7"/>
        <v>9.9043230084434786</v>
      </c>
      <c r="F26" s="15">
        <f t="shared" si="7"/>
        <v>8.0748736682960267</v>
      </c>
      <c r="G26" s="15">
        <f t="shared" si="7"/>
        <v>8.884564795440971</v>
      </c>
      <c r="H26" s="15">
        <f t="shared" si="7"/>
        <v>5.0444816996893627</v>
      </c>
      <c r="I26" s="8">
        <f t="shared" si="7"/>
        <v>8.8033337734366324</v>
      </c>
      <c r="J26" s="15">
        <f t="shared" si="7"/>
        <v>9.0994019679524687</v>
      </c>
      <c r="K26" s="15">
        <f t="shared" si="7"/>
        <v>8.3622785582490504</v>
      </c>
      <c r="L26" s="15">
        <f t="shared" si="7"/>
        <v>9.319087122448579</v>
      </c>
      <c r="M26" s="8">
        <f t="shared" si="7"/>
        <v>8.7783542430295647</v>
      </c>
      <c r="N26" s="15">
        <f t="shared" si="7"/>
        <v>8.9899953559438099</v>
      </c>
      <c r="O26" s="15">
        <f t="shared" si="7"/>
        <v>8.9996569236532142</v>
      </c>
      <c r="P26" s="15">
        <f t="shared" si="7"/>
        <v>9.0071279014111632</v>
      </c>
      <c r="Q26" s="8">
        <f t="shared" si="7"/>
        <v>8.7397317715864471</v>
      </c>
      <c r="R26" s="15">
        <f t="shared" si="7"/>
        <v>8.6718909052085387</v>
      </c>
      <c r="S26" s="15">
        <f t="shared" si="7"/>
        <v>8.0961047213177117</v>
      </c>
      <c r="T26" s="15">
        <f t="shared" si="7"/>
        <v>7.2453895167890909</v>
      </c>
      <c r="U26" s="8">
        <f t="shared" si="7"/>
        <v>7.9055891861838896</v>
      </c>
      <c r="V26" s="15">
        <f t="shared" si="7"/>
        <v>7.296617346681403</v>
      </c>
      <c r="W26" s="15">
        <f t="shared" si="7"/>
        <v>7.4657609799836395</v>
      </c>
      <c r="X26" s="15">
        <f t="shared" si="7"/>
        <v>7.1203793425763591</v>
      </c>
      <c r="Y26" s="8">
        <f t="shared" si="7"/>
        <v>6.9877339801535694</v>
      </c>
      <c r="Z26" s="15">
        <f t="shared" si="7"/>
        <v>6.1222614845870691</v>
      </c>
      <c r="AA26" s="15">
        <f t="shared" si="7"/>
        <v>5.9604870836047912</v>
      </c>
      <c r="AB26" s="15">
        <f t="shared" si="7"/>
        <v>5.1735443240845171</v>
      </c>
      <c r="AC26" s="8">
        <f t="shared" si="7"/>
        <v>5.5407913795175112</v>
      </c>
      <c r="AD26" s="15">
        <f t="shared" si="7"/>
        <v>5.2655972264600557</v>
      </c>
      <c r="AE26" s="15">
        <f t="shared" si="7"/>
        <v>5.273723633220591</v>
      </c>
      <c r="AF26" s="15">
        <f t="shared" si="7"/>
        <v>5.2649914240744762</v>
      </c>
      <c r="AG26" s="9">
        <f t="shared" si="7"/>
        <v>4.2924315937307487</v>
      </c>
    </row>
    <row r="27" spans="1:34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</row>
    <row r="28" spans="1:34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</row>
    <row r="29" spans="1:34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</row>
    <row r="30" spans="1:34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</row>
    <row r="31" spans="1:34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</row>
    <row r="32" spans="1:34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</row>
    <row r="33" spans="1:34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</row>
    <row r="34" spans="1:3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</row>
    <row r="35" spans="1:34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</row>
    <row r="36" spans="1:34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</row>
    <row r="37" spans="1:34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</row>
    <row r="38" spans="1:34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</row>
    <row r="39" spans="1:34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</row>
    <row r="40" spans="1:34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</row>
    <row r="41" spans="1:34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</row>
    <row r="42" spans="1:34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</row>
    <row r="43" spans="1:34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</row>
    <row r="44" spans="1:34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</row>
    <row r="45" spans="1:34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</row>
    <row r="46" spans="1:34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</row>
    <row r="47" spans="1:34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</row>
    <row r="48" spans="1:34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</row>
    <row r="49" spans="1:34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</row>
  </sheetData>
  <mergeCells count="33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AE1:AE2"/>
    <mergeCell ref="AF1:AF2"/>
    <mergeCell ref="AG1:AG2"/>
    <mergeCell ref="Z1:Z2"/>
    <mergeCell ref="AA1:AA2"/>
    <mergeCell ref="AB1:AB2"/>
    <mergeCell ref="AC1:AC2"/>
    <mergeCell ref="AD1:AD2"/>
  </mergeCells>
  <phoneticPr fontId="2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424B1A-F941-4306-B4CC-56C08E74E809}">
  <dimension ref="A1:J54"/>
  <sheetViews>
    <sheetView zoomScale="70" zoomScaleNormal="70" workbookViewId="0">
      <pane xSplit="1" topLeftCell="B1" activePane="topRight" state="frozen"/>
      <selection pane="topRight" activeCell="I7" sqref="I7"/>
    </sheetView>
  </sheetViews>
  <sheetFormatPr defaultRowHeight="14.4"/>
  <cols>
    <col min="1" max="1" width="48.77734375" customWidth="1"/>
    <col min="2" max="8" width="12.44140625" bestFit="1" customWidth="1"/>
    <col min="9" max="9" width="12.6640625" bestFit="1" customWidth="1"/>
    <col min="10" max="10" width="14.6640625" style="2" bestFit="1" customWidth="1"/>
  </cols>
  <sheetData>
    <row r="1" spans="1:10" ht="14.4" customHeight="1">
      <c r="A1" s="373" t="s">
        <v>3</v>
      </c>
      <c r="B1" s="367">
        <v>2014</v>
      </c>
      <c r="C1" s="367">
        <v>2015</v>
      </c>
      <c r="D1" s="367">
        <v>2016</v>
      </c>
      <c r="E1" s="367">
        <v>2017</v>
      </c>
      <c r="F1" s="367">
        <v>2018</v>
      </c>
      <c r="G1" s="367">
        <v>2019</v>
      </c>
      <c r="H1" s="367">
        <v>2020</v>
      </c>
      <c r="I1" s="369">
        <v>2021</v>
      </c>
      <c r="J1" s="371" t="s">
        <v>124</v>
      </c>
    </row>
    <row r="2" spans="1:10" ht="14.4" customHeight="1" thickBot="1">
      <c r="A2" s="374"/>
      <c r="B2" s="368"/>
      <c r="C2" s="368"/>
      <c r="D2" s="368"/>
      <c r="E2" s="368"/>
      <c r="F2" s="368"/>
      <c r="G2" s="368"/>
      <c r="H2" s="368"/>
      <c r="I2" s="370"/>
      <c r="J2" s="372"/>
    </row>
    <row r="3" spans="1:10" ht="20.399999999999999">
      <c r="A3" s="87" t="s">
        <v>135</v>
      </c>
      <c r="B3" s="95"/>
      <c r="C3" s="95"/>
      <c r="D3" s="95"/>
      <c r="E3" s="95"/>
      <c r="F3" s="95"/>
      <c r="G3" s="95"/>
      <c r="H3" s="95"/>
      <c r="I3" s="96"/>
      <c r="J3" s="97"/>
    </row>
    <row r="4" spans="1:10" ht="26.4">
      <c r="A4" s="98" t="s">
        <v>141</v>
      </c>
      <c r="B4" s="146">
        <v>5156624</v>
      </c>
      <c r="C4" s="146">
        <v>5372503</v>
      </c>
      <c r="D4" s="146">
        <v>5668857</v>
      </c>
      <c r="E4" s="146">
        <v>6084201</v>
      </c>
      <c r="F4" s="148">
        <v>8598464</v>
      </c>
      <c r="G4" s="148">
        <v>8108551</v>
      </c>
      <c r="H4" s="148">
        <v>12660566</v>
      </c>
      <c r="I4" s="149">
        <v>24205153</v>
      </c>
      <c r="J4" s="97">
        <f>AVERAGE(B4:I4)</f>
        <v>9481864.875</v>
      </c>
    </row>
    <row r="5" spans="1:10">
      <c r="A5" s="98" t="s">
        <v>146</v>
      </c>
      <c r="B5" s="146">
        <v>572606</v>
      </c>
      <c r="C5" s="146">
        <v>225369</v>
      </c>
      <c r="D5" s="146">
        <v>561766</v>
      </c>
      <c r="E5" s="146">
        <v>307436</v>
      </c>
      <c r="F5" s="148">
        <v>1435300</v>
      </c>
      <c r="G5" s="148">
        <v>3603961</v>
      </c>
      <c r="H5" s="148">
        <v>7146052</v>
      </c>
      <c r="I5" s="149">
        <v>7000050</v>
      </c>
      <c r="J5" s="97">
        <f t="shared" ref="J5:J8" si="0">AVERAGE(B5:I5)</f>
        <v>2606567.5</v>
      </c>
    </row>
    <row r="6" spans="1:10" ht="26.4">
      <c r="A6" s="98" t="s">
        <v>145</v>
      </c>
      <c r="B6" s="146">
        <v>1976154</v>
      </c>
      <c r="C6" s="146">
        <v>2284563</v>
      </c>
      <c r="D6" s="146">
        <v>3281267</v>
      </c>
      <c r="E6" s="146">
        <v>3729348</v>
      </c>
      <c r="F6" s="148">
        <v>3107096</v>
      </c>
      <c r="G6" s="148">
        <v>5004537</v>
      </c>
      <c r="H6" s="148">
        <v>8376943</v>
      </c>
      <c r="I6" s="149">
        <v>17176966</v>
      </c>
      <c r="J6" s="97">
        <f t="shared" si="0"/>
        <v>5617109.25</v>
      </c>
    </row>
    <row r="7" spans="1:10">
      <c r="A7" s="98" t="s">
        <v>153</v>
      </c>
      <c r="B7" s="146">
        <v>23056422</v>
      </c>
      <c r="C7" s="146">
        <v>27014513</v>
      </c>
      <c r="D7" s="146">
        <v>25599230</v>
      </c>
      <c r="E7" s="146">
        <v>25337819</v>
      </c>
      <c r="F7" s="148">
        <v>30481546</v>
      </c>
      <c r="G7" s="148">
        <v>32582167</v>
      </c>
      <c r="H7" s="148">
        <v>47032268</v>
      </c>
      <c r="I7" s="149">
        <v>60187817</v>
      </c>
      <c r="J7" s="97">
        <f t="shared" si="0"/>
        <v>33911472.75</v>
      </c>
    </row>
    <row r="8" spans="1:10" ht="26.4">
      <c r="A8" s="98" t="s">
        <v>144</v>
      </c>
      <c r="B8" s="146">
        <v>597317</v>
      </c>
      <c r="C8" s="146">
        <v>1250842</v>
      </c>
      <c r="D8" s="146">
        <v>1394324</v>
      </c>
      <c r="E8" s="146">
        <v>1414992</v>
      </c>
      <c r="F8" s="148">
        <v>1732682</v>
      </c>
      <c r="G8" s="148">
        <v>2666352</v>
      </c>
      <c r="H8" s="148">
        <v>2652383</v>
      </c>
      <c r="I8" s="149">
        <v>2818159</v>
      </c>
      <c r="J8" s="97">
        <f t="shared" si="0"/>
        <v>1815881.375</v>
      </c>
    </row>
    <row r="9" spans="1:10">
      <c r="A9" s="143" t="s">
        <v>43</v>
      </c>
      <c r="B9" s="150">
        <v>3153847</v>
      </c>
      <c r="C9" s="150">
        <v>3356757</v>
      </c>
      <c r="D9" s="150">
        <v>3663014</v>
      </c>
      <c r="E9" s="150">
        <v>4060598</v>
      </c>
      <c r="F9" s="152">
        <v>4323181</v>
      </c>
      <c r="G9" s="152">
        <v>4827079</v>
      </c>
      <c r="H9" s="152">
        <v>5495302</v>
      </c>
      <c r="I9" s="153">
        <v>6556794</v>
      </c>
      <c r="J9" s="144">
        <f>AVERAGE(B9:I9)</f>
        <v>4429571.5</v>
      </c>
    </row>
    <row r="10" spans="1:10">
      <c r="A10" s="98"/>
      <c r="B10" s="146"/>
      <c r="C10" s="146"/>
      <c r="D10" s="146"/>
      <c r="E10" s="146"/>
      <c r="F10" s="148"/>
      <c r="G10" s="148"/>
      <c r="H10" s="148"/>
      <c r="I10" s="149"/>
      <c r="J10" s="97"/>
    </row>
    <row r="11" spans="1:10">
      <c r="A11" s="98" t="s">
        <v>66</v>
      </c>
      <c r="B11" s="146">
        <v>19112760</v>
      </c>
      <c r="C11" s="146">
        <v>22177414</v>
      </c>
      <c r="D11" s="146">
        <v>21064781</v>
      </c>
      <c r="E11" s="146">
        <v>22030496</v>
      </c>
      <c r="F11" s="148">
        <v>26862479</v>
      </c>
      <c r="G11" s="148">
        <v>39974514</v>
      </c>
      <c r="H11" s="148">
        <v>57390586</v>
      </c>
      <c r="I11" s="149">
        <v>84477543</v>
      </c>
      <c r="J11" s="97">
        <f t="shared" ref="J11:J43" si="1">AVERAGE(B11:I11)</f>
        <v>36636321.625</v>
      </c>
    </row>
    <row r="12" spans="1:10" ht="27.6">
      <c r="A12" s="98" t="s">
        <v>64</v>
      </c>
      <c r="B12" s="146">
        <v>9482</v>
      </c>
      <c r="C12" s="146">
        <v>33354</v>
      </c>
      <c r="D12" s="146">
        <v>32357</v>
      </c>
      <c r="E12" s="146">
        <v>27518</v>
      </c>
      <c r="F12" s="148">
        <v>12014618</v>
      </c>
      <c r="G12" s="148">
        <v>3764639</v>
      </c>
      <c r="H12" s="148">
        <v>13367036</v>
      </c>
      <c r="I12" s="149">
        <v>9908207</v>
      </c>
      <c r="J12" s="97">
        <f t="shared" si="1"/>
        <v>4894651.375</v>
      </c>
    </row>
    <row r="13" spans="1:10">
      <c r="A13" s="98" t="s">
        <v>65</v>
      </c>
      <c r="B13" s="146">
        <v>8569415</v>
      </c>
      <c r="C13" s="146">
        <v>8657646</v>
      </c>
      <c r="D13" s="146">
        <v>10256573</v>
      </c>
      <c r="E13" s="146">
        <v>9683679</v>
      </c>
      <c r="F13" s="148" t="s">
        <v>1</v>
      </c>
      <c r="G13" s="148" t="s">
        <v>1</v>
      </c>
      <c r="H13" s="148" t="s">
        <v>1</v>
      </c>
      <c r="I13" s="149">
        <v>6528730</v>
      </c>
      <c r="J13" s="97">
        <f t="shared" si="1"/>
        <v>8739208.5999999996</v>
      </c>
    </row>
    <row r="14" spans="1:10">
      <c r="A14" s="88" t="s">
        <v>106</v>
      </c>
      <c r="B14" s="150">
        <v>652629</v>
      </c>
      <c r="C14" s="150">
        <v>972544</v>
      </c>
      <c r="D14" s="150">
        <v>547774</v>
      </c>
      <c r="E14" s="150">
        <v>510534</v>
      </c>
      <c r="F14" s="166" t="s">
        <v>1</v>
      </c>
      <c r="G14" s="166" t="s">
        <v>1</v>
      </c>
      <c r="H14" s="166" t="s">
        <v>1</v>
      </c>
      <c r="I14" s="167" t="s">
        <v>1</v>
      </c>
      <c r="J14" s="97">
        <f t="shared" si="1"/>
        <v>670870.25</v>
      </c>
    </row>
    <row r="15" spans="1:10" ht="27.6">
      <c r="A15" s="98" t="s">
        <v>107</v>
      </c>
      <c r="B15" s="146" t="s">
        <v>1</v>
      </c>
      <c r="C15" s="146" t="s">
        <v>1</v>
      </c>
      <c r="D15" s="146" t="s">
        <v>1</v>
      </c>
      <c r="E15" s="146" t="s">
        <v>1</v>
      </c>
      <c r="F15" s="148" t="s">
        <v>1</v>
      </c>
      <c r="G15" s="148" t="s">
        <v>1</v>
      </c>
      <c r="H15" s="148" t="s">
        <v>1</v>
      </c>
      <c r="I15" s="149" t="s">
        <v>1</v>
      </c>
      <c r="J15" s="97"/>
    </row>
    <row r="16" spans="1:10" ht="27.6">
      <c r="A16" s="101" t="s">
        <v>53</v>
      </c>
      <c r="B16" s="146">
        <v>948336</v>
      </c>
      <c r="C16" s="146">
        <v>1018769</v>
      </c>
      <c r="D16" s="146">
        <v>872663</v>
      </c>
      <c r="E16" s="146">
        <v>807502</v>
      </c>
      <c r="F16" s="148">
        <v>426045</v>
      </c>
      <c r="G16" s="148">
        <v>134286</v>
      </c>
      <c r="H16" s="148">
        <v>324251</v>
      </c>
      <c r="I16" s="149">
        <v>364117</v>
      </c>
      <c r="J16" s="97">
        <f t="shared" si="1"/>
        <v>611996.125</v>
      </c>
    </row>
    <row r="17" spans="1:10">
      <c r="A17" s="101" t="s">
        <v>70</v>
      </c>
      <c r="B17" s="146">
        <v>423768</v>
      </c>
      <c r="C17" s="146">
        <v>821511</v>
      </c>
      <c r="D17" s="146">
        <v>519957</v>
      </c>
      <c r="E17" s="146">
        <v>251946</v>
      </c>
      <c r="F17" s="148" t="s">
        <v>1</v>
      </c>
      <c r="G17" s="148">
        <v>302217</v>
      </c>
      <c r="H17" s="148">
        <v>341098</v>
      </c>
      <c r="I17" s="149">
        <v>372189</v>
      </c>
      <c r="J17" s="97">
        <f t="shared" si="1"/>
        <v>433240.85714285716</v>
      </c>
    </row>
    <row r="18" spans="1:10">
      <c r="A18" s="101" t="s">
        <v>55</v>
      </c>
      <c r="B18" s="146">
        <v>143600</v>
      </c>
      <c r="C18" s="146" t="s">
        <v>1</v>
      </c>
      <c r="D18" s="146">
        <v>104771</v>
      </c>
      <c r="E18" s="146" t="s">
        <v>1</v>
      </c>
      <c r="F18" s="148">
        <v>254128</v>
      </c>
      <c r="G18" s="148">
        <v>331220</v>
      </c>
      <c r="H18" s="148">
        <v>366460</v>
      </c>
      <c r="I18" s="149">
        <v>450977</v>
      </c>
      <c r="J18" s="97">
        <f t="shared" si="1"/>
        <v>275192.66666666669</v>
      </c>
    </row>
    <row r="19" spans="1:10" ht="27.6">
      <c r="A19" s="101" t="s">
        <v>103</v>
      </c>
      <c r="B19" s="146">
        <v>51547</v>
      </c>
      <c r="C19" s="146">
        <v>284543</v>
      </c>
      <c r="D19" s="146">
        <v>352675</v>
      </c>
      <c r="E19" s="146">
        <v>256796</v>
      </c>
      <c r="F19" s="148">
        <v>69714</v>
      </c>
      <c r="G19" s="148">
        <v>141689</v>
      </c>
      <c r="H19" s="148">
        <v>101186</v>
      </c>
      <c r="I19" s="149">
        <v>357623</v>
      </c>
      <c r="J19" s="97">
        <f t="shared" si="1"/>
        <v>201971.625</v>
      </c>
    </row>
    <row r="20" spans="1:10">
      <c r="A20" s="101" t="s">
        <v>73</v>
      </c>
      <c r="B20" s="146">
        <v>353976</v>
      </c>
      <c r="C20" s="146">
        <v>440280</v>
      </c>
      <c r="D20" s="146">
        <v>438439</v>
      </c>
      <c r="E20" s="146">
        <v>428980</v>
      </c>
      <c r="F20" s="148" t="s">
        <v>1</v>
      </c>
      <c r="G20" s="148" t="s">
        <v>1</v>
      </c>
      <c r="H20" s="148" t="s">
        <v>1</v>
      </c>
      <c r="I20" s="149" t="s">
        <v>1</v>
      </c>
      <c r="J20" s="97"/>
    </row>
    <row r="21" spans="1:10" ht="27.6">
      <c r="A21" s="101" t="s">
        <v>74</v>
      </c>
      <c r="B21" s="146">
        <v>75430</v>
      </c>
      <c r="C21" s="146">
        <v>80458</v>
      </c>
      <c r="D21" s="146">
        <v>64213</v>
      </c>
      <c r="E21" s="146">
        <v>62510</v>
      </c>
      <c r="F21" s="148" t="s">
        <v>1</v>
      </c>
      <c r="G21" s="148" t="s">
        <v>1</v>
      </c>
      <c r="H21" s="148" t="s">
        <v>1</v>
      </c>
      <c r="I21" s="149" t="s">
        <v>1</v>
      </c>
      <c r="J21" s="97">
        <f t="shared" si="1"/>
        <v>70652.75</v>
      </c>
    </row>
    <row r="22" spans="1:10" ht="27.6">
      <c r="A22" s="101" t="s">
        <v>104</v>
      </c>
      <c r="B22" s="146" t="s">
        <v>1</v>
      </c>
      <c r="C22" s="146" t="s">
        <v>1</v>
      </c>
      <c r="D22" s="146" t="s">
        <v>1</v>
      </c>
      <c r="E22" s="146" t="s">
        <v>1</v>
      </c>
      <c r="F22" s="148">
        <v>1326515</v>
      </c>
      <c r="G22" s="148">
        <v>1497558</v>
      </c>
      <c r="H22" s="148">
        <v>1836471</v>
      </c>
      <c r="I22" s="149">
        <v>3246755</v>
      </c>
      <c r="J22" s="97">
        <f t="shared" si="1"/>
        <v>1976824.75</v>
      </c>
    </row>
    <row r="23" spans="1:10">
      <c r="A23" s="101" t="s">
        <v>105</v>
      </c>
      <c r="B23" s="146" t="s">
        <v>1</v>
      </c>
      <c r="C23" s="146">
        <v>733023</v>
      </c>
      <c r="D23" s="146">
        <v>890500</v>
      </c>
      <c r="E23" s="146">
        <v>960338</v>
      </c>
      <c r="F23" s="148">
        <v>1775804</v>
      </c>
      <c r="G23" s="148">
        <v>1454208</v>
      </c>
      <c r="H23" s="148">
        <v>2148432</v>
      </c>
      <c r="I23" s="149">
        <v>3380328</v>
      </c>
      <c r="J23" s="97">
        <f t="shared" si="1"/>
        <v>1620376.142857143</v>
      </c>
    </row>
    <row r="24" spans="1:10">
      <c r="A24" s="102" t="s">
        <v>44</v>
      </c>
      <c r="B24" s="152">
        <f t="shared" ref="B24:I24" si="2">SUM(B11:B23)</f>
        <v>30340943</v>
      </c>
      <c r="C24" s="152">
        <f t="shared" si="2"/>
        <v>35219542</v>
      </c>
      <c r="D24" s="152">
        <f t="shared" si="2"/>
        <v>35144703</v>
      </c>
      <c r="E24" s="152">
        <f t="shared" si="2"/>
        <v>35020299</v>
      </c>
      <c r="F24" s="152">
        <f t="shared" si="2"/>
        <v>42729303</v>
      </c>
      <c r="G24" s="152">
        <f t="shared" si="2"/>
        <v>47600331</v>
      </c>
      <c r="H24" s="152">
        <f t="shared" si="2"/>
        <v>75875520</v>
      </c>
      <c r="I24" s="153">
        <f t="shared" si="2"/>
        <v>109086469</v>
      </c>
      <c r="J24" s="97">
        <f t="shared" si="1"/>
        <v>51377138.75</v>
      </c>
    </row>
    <row r="25" spans="1:10">
      <c r="A25" s="102" t="s">
        <v>45</v>
      </c>
      <c r="B25" s="152">
        <f t="shared" ref="B25:I25" si="3">B24+B9</f>
        <v>33494790</v>
      </c>
      <c r="C25" s="152">
        <f t="shared" si="3"/>
        <v>38576299</v>
      </c>
      <c r="D25" s="152">
        <f t="shared" si="3"/>
        <v>38807717</v>
      </c>
      <c r="E25" s="152">
        <f t="shared" si="3"/>
        <v>39080897</v>
      </c>
      <c r="F25" s="152">
        <f t="shared" si="3"/>
        <v>47052484</v>
      </c>
      <c r="G25" s="152">
        <f t="shared" si="3"/>
        <v>52427410</v>
      </c>
      <c r="H25" s="152">
        <f t="shared" si="3"/>
        <v>81370822</v>
      </c>
      <c r="I25" s="153">
        <f t="shared" si="3"/>
        <v>115643263</v>
      </c>
      <c r="J25" s="97">
        <f>AVERAGE(B25:I25)</f>
        <v>55806710.25</v>
      </c>
    </row>
    <row r="26" spans="1:10" s="33" customFormat="1" ht="13.8">
      <c r="A26" s="107" t="s">
        <v>40</v>
      </c>
      <c r="B26" s="168">
        <v>33494790</v>
      </c>
      <c r="C26" s="168">
        <v>38576299</v>
      </c>
      <c r="D26" s="168">
        <v>38807717</v>
      </c>
      <c r="E26" s="168">
        <v>39080897</v>
      </c>
      <c r="F26" s="168">
        <v>47052484</v>
      </c>
      <c r="G26" s="168">
        <v>52427410</v>
      </c>
      <c r="H26" s="168">
        <v>81370822</v>
      </c>
      <c r="I26" s="169">
        <v>115643263</v>
      </c>
      <c r="J26" s="169">
        <f>AVERAGE(B26:I26)</f>
        <v>55806710.25</v>
      </c>
    </row>
    <row r="27" spans="1:10" s="33" customFormat="1" ht="20.399999999999999">
      <c r="A27" s="92" t="s">
        <v>136</v>
      </c>
      <c r="B27" s="154"/>
      <c r="C27" s="154"/>
      <c r="D27" s="154"/>
      <c r="E27" s="154"/>
      <c r="F27" s="154"/>
      <c r="G27" s="154"/>
      <c r="H27" s="154"/>
      <c r="I27" s="155"/>
      <c r="J27" s="97"/>
    </row>
    <row r="28" spans="1:10">
      <c r="A28" s="115" t="s">
        <v>41</v>
      </c>
      <c r="B28" s="142">
        <v>12.47</v>
      </c>
      <c r="C28" s="142">
        <v>13.51</v>
      </c>
      <c r="D28" s="142">
        <v>15.58</v>
      </c>
      <c r="E28" s="142">
        <v>18.22</v>
      </c>
      <c r="F28" s="142">
        <v>16.62</v>
      </c>
      <c r="G28" s="142">
        <v>17.260000000000002</v>
      </c>
      <c r="H28" s="142">
        <v>16.64</v>
      </c>
      <c r="I28" s="156">
        <v>17.850000000000001</v>
      </c>
      <c r="J28" s="141">
        <f t="shared" si="1"/>
        <v>16.018750000000001</v>
      </c>
    </row>
    <row r="29" spans="1:10">
      <c r="A29" s="115" t="s">
        <v>62</v>
      </c>
      <c r="B29" s="142">
        <f t="shared" ref="B29:I29" si="4">B9/B25*100</f>
        <v>9.4159330451094032</v>
      </c>
      <c r="C29" s="142">
        <f t="shared" si="4"/>
        <v>8.7016045785003904</v>
      </c>
      <c r="D29" s="142">
        <f t="shared" si="4"/>
        <v>9.4388804164903597</v>
      </c>
      <c r="E29" s="142">
        <f t="shared" si="4"/>
        <v>10.390237460516834</v>
      </c>
      <c r="F29" s="142">
        <f t="shared" si="4"/>
        <v>9.187997386067865</v>
      </c>
      <c r="G29" s="142">
        <f t="shared" si="4"/>
        <v>9.2071666328739106</v>
      </c>
      <c r="H29" s="142">
        <f t="shared" si="4"/>
        <v>6.7534060304810488</v>
      </c>
      <c r="I29" s="156">
        <f t="shared" si="4"/>
        <v>5.6698452031745248</v>
      </c>
      <c r="J29" s="141">
        <f t="shared" si="1"/>
        <v>8.5956338441517914</v>
      </c>
    </row>
    <row r="30" spans="1:10">
      <c r="A30" s="115" t="s">
        <v>46</v>
      </c>
      <c r="B30" s="142">
        <f t="shared" ref="B30:I30" si="5">B24/B9</f>
        <v>9.6202964189448625</v>
      </c>
      <c r="C30" s="142">
        <f t="shared" si="5"/>
        <v>10.492133329877618</v>
      </c>
      <c r="D30" s="142">
        <f t="shared" si="5"/>
        <v>9.5944768433863477</v>
      </c>
      <c r="E30" s="142">
        <f t="shared" si="5"/>
        <v>8.6244191126528662</v>
      </c>
      <c r="F30" s="142">
        <f t="shared" si="5"/>
        <v>9.8837645243167014</v>
      </c>
      <c r="G30" s="142">
        <f t="shared" si="5"/>
        <v>9.8611046141983589</v>
      </c>
      <c r="H30" s="142">
        <f t="shared" si="5"/>
        <v>13.807343072318865</v>
      </c>
      <c r="I30" s="156">
        <f t="shared" si="5"/>
        <v>16.637165816098538</v>
      </c>
      <c r="J30" s="141">
        <f t="shared" si="1"/>
        <v>11.06508796647427</v>
      </c>
    </row>
    <row r="31" spans="1:10">
      <c r="A31" s="115" t="s">
        <v>47</v>
      </c>
      <c r="B31" s="142">
        <f t="shared" ref="B31:I31" si="6">B25/B9</f>
        <v>10.620296418944863</v>
      </c>
      <c r="C31" s="142">
        <f t="shared" si="6"/>
        <v>11.492133329877618</v>
      </c>
      <c r="D31" s="142">
        <f t="shared" si="6"/>
        <v>10.594476843386348</v>
      </c>
      <c r="E31" s="142">
        <f t="shared" si="6"/>
        <v>9.6244191126528662</v>
      </c>
      <c r="F31" s="142">
        <f t="shared" si="6"/>
        <v>10.883764524316701</v>
      </c>
      <c r="G31" s="142">
        <f t="shared" si="6"/>
        <v>10.861104614198359</v>
      </c>
      <c r="H31" s="142">
        <f t="shared" si="6"/>
        <v>14.807343072318865</v>
      </c>
      <c r="I31" s="156">
        <f t="shared" si="6"/>
        <v>17.637165816098538</v>
      </c>
      <c r="J31" s="141">
        <f t="shared" si="1"/>
        <v>12.06508796647427</v>
      </c>
    </row>
    <row r="32" spans="1:10">
      <c r="A32" s="115" t="s">
        <v>63</v>
      </c>
      <c r="B32" s="142">
        <f t="shared" ref="B32:I32" si="7">B9/B24*100</f>
        <v>10.394690105709635</v>
      </c>
      <c r="C32" s="142">
        <f t="shared" si="7"/>
        <v>9.5309501753316379</v>
      </c>
      <c r="D32" s="142">
        <f t="shared" si="7"/>
        <v>10.422663125080328</v>
      </c>
      <c r="E32" s="142">
        <f t="shared" si="7"/>
        <v>11.594983812102804</v>
      </c>
      <c r="F32" s="142">
        <f t="shared" si="7"/>
        <v>10.117602433159277</v>
      </c>
      <c r="G32" s="142">
        <f t="shared" si="7"/>
        <v>10.140851751640129</v>
      </c>
      <c r="H32" s="142">
        <f t="shared" si="7"/>
        <v>7.2425230166462118</v>
      </c>
      <c r="I32" s="156">
        <f t="shared" si="7"/>
        <v>6.0106391380217827</v>
      </c>
      <c r="J32" s="141">
        <f t="shared" si="1"/>
        <v>9.4318629447114759</v>
      </c>
    </row>
    <row r="33" spans="1:10" ht="20.399999999999999">
      <c r="A33" s="93" t="s">
        <v>137</v>
      </c>
      <c r="B33" s="139"/>
      <c r="C33" s="139"/>
      <c r="D33" s="139"/>
      <c r="E33" s="139"/>
      <c r="F33" s="157"/>
      <c r="G33" s="157"/>
      <c r="H33" s="157"/>
      <c r="I33" s="158"/>
      <c r="J33" s="97"/>
    </row>
    <row r="34" spans="1:10" s="34" customFormat="1" ht="13.8">
      <c r="A34" s="124" t="s">
        <v>122</v>
      </c>
      <c r="B34" s="139">
        <v>2169968</v>
      </c>
      <c r="C34" s="139">
        <v>2780246</v>
      </c>
      <c r="D34" s="139">
        <v>2981301</v>
      </c>
      <c r="E34" s="139">
        <v>2902629</v>
      </c>
      <c r="F34" s="157">
        <v>3937713</v>
      </c>
      <c r="G34" s="157">
        <v>4536840</v>
      </c>
      <c r="H34" s="157">
        <v>4504291</v>
      </c>
      <c r="I34" s="158">
        <v>6382801</v>
      </c>
      <c r="J34" s="97"/>
    </row>
    <row r="35" spans="1:10" s="34" customFormat="1" ht="13.8">
      <c r="A35" s="124" t="s">
        <v>123</v>
      </c>
      <c r="B35" s="139">
        <v>1072136</v>
      </c>
      <c r="C35" s="139">
        <v>1375984</v>
      </c>
      <c r="D35" s="139">
        <v>1471762</v>
      </c>
      <c r="E35" s="139">
        <v>1451193</v>
      </c>
      <c r="F35" s="157">
        <v>2191887</v>
      </c>
      <c r="G35" s="157">
        <v>2596001</v>
      </c>
      <c r="H35" s="157">
        <v>2022695</v>
      </c>
      <c r="I35" s="158">
        <v>3959119</v>
      </c>
      <c r="J35" s="97">
        <f t="shared" si="1"/>
        <v>2017597.125</v>
      </c>
    </row>
    <row r="36" spans="1:10" s="34" customFormat="1" ht="13.8">
      <c r="A36" s="126" t="s">
        <v>138</v>
      </c>
      <c r="B36" s="159">
        <f>B34-B35</f>
        <v>1097832</v>
      </c>
      <c r="C36" s="159">
        <f t="shared" ref="C36:I36" si="8">C34-C35</f>
        <v>1404262</v>
      </c>
      <c r="D36" s="159">
        <f t="shared" si="8"/>
        <v>1509539</v>
      </c>
      <c r="E36" s="159">
        <f t="shared" si="8"/>
        <v>1451436</v>
      </c>
      <c r="F36" s="160">
        <f t="shared" si="8"/>
        <v>1745826</v>
      </c>
      <c r="G36" s="160">
        <f t="shared" si="8"/>
        <v>1940839</v>
      </c>
      <c r="H36" s="160">
        <f t="shared" si="8"/>
        <v>2481596</v>
      </c>
      <c r="I36" s="160">
        <f t="shared" si="8"/>
        <v>2423682</v>
      </c>
      <c r="J36" s="97"/>
    </row>
    <row r="37" spans="1:10" s="2" customFormat="1" ht="13.8">
      <c r="A37" s="124" t="s">
        <v>114</v>
      </c>
      <c r="B37" s="139">
        <v>148598</v>
      </c>
      <c r="C37" s="139">
        <v>142469</v>
      </c>
      <c r="D37" s="139">
        <v>143012</v>
      </c>
      <c r="E37" s="139">
        <v>135781</v>
      </c>
      <c r="F37" s="157">
        <v>126793</v>
      </c>
      <c r="G37" s="157">
        <v>141723</v>
      </c>
      <c r="H37" s="157">
        <v>71698</v>
      </c>
      <c r="I37" s="157">
        <v>257632</v>
      </c>
      <c r="J37" s="97">
        <f t="shared" si="1"/>
        <v>145963.25</v>
      </c>
    </row>
    <row r="38" spans="1:10" s="2" customFormat="1" ht="13.8">
      <c r="A38" s="124" t="s">
        <v>139</v>
      </c>
      <c r="B38" s="139" t="s">
        <v>1</v>
      </c>
      <c r="C38" s="139" t="s">
        <v>1</v>
      </c>
      <c r="D38" s="139" t="s">
        <v>1</v>
      </c>
      <c r="E38" s="139" t="s">
        <v>1</v>
      </c>
      <c r="F38" s="157">
        <v>177</v>
      </c>
      <c r="G38" s="157">
        <v>6</v>
      </c>
      <c r="H38" s="157">
        <v>8</v>
      </c>
      <c r="I38" s="157">
        <v>19</v>
      </c>
      <c r="J38" s="97">
        <f>AVERAGE(B38:I38)</f>
        <v>52.5</v>
      </c>
    </row>
    <row r="39" spans="1:10" s="2" customFormat="1" ht="13.8">
      <c r="A39" s="124" t="s">
        <v>115</v>
      </c>
      <c r="B39" s="139">
        <v>25657</v>
      </c>
      <c r="C39" s="139">
        <v>21341</v>
      </c>
      <c r="D39" s="139">
        <v>99170</v>
      </c>
      <c r="E39" s="139">
        <v>22124</v>
      </c>
      <c r="F39" s="157">
        <v>83909</v>
      </c>
      <c r="G39" s="157">
        <v>191088</v>
      </c>
      <c r="H39" s="157">
        <v>462347</v>
      </c>
      <c r="I39" s="158">
        <v>623805</v>
      </c>
      <c r="J39" s="97">
        <f t="shared" si="1"/>
        <v>191180.125</v>
      </c>
    </row>
    <row r="40" spans="1:10" s="2" customFormat="1" ht="13.8">
      <c r="A40" s="124" t="s">
        <v>116</v>
      </c>
      <c r="B40" s="139">
        <v>171201</v>
      </c>
      <c r="C40" s="139">
        <v>123767</v>
      </c>
      <c r="D40" s="139">
        <v>313913</v>
      </c>
      <c r="E40" s="139">
        <v>304714</v>
      </c>
      <c r="F40" s="157">
        <v>621806</v>
      </c>
      <c r="G40" s="157">
        <v>645796</v>
      </c>
      <c r="H40" s="157">
        <v>575269</v>
      </c>
      <c r="I40" s="158">
        <v>856210</v>
      </c>
      <c r="J40" s="97">
        <f t="shared" si="1"/>
        <v>451584.5</v>
      </c>
    </row>
    <row r="41" spans="1:10" s="2" customFormat="1" ht="13.8">
      <c r="A41" s="124" t="s">
        <v>147</v>
      </c>
      <c r="B41" s="139">
        <v>718541</v>
      </c>
      <c r="C41" s="139">
        <v>807741</v>
      </c>
      <c r="D41" s="139">
        <v>846140</v>
      </c>
      <c r="E41" s="139">
        <v>875598</v>
      </c>
      <c r="F41" s="157">
        <v>502998</v>
      </c>
      <c r="G41" s="157">
        <v>583571</v>
      </c>
      <c r="H41" s="157">
        <v>817781</v>
      </c>
      <c r="I41" s="158">
        <v>886413</v>
      </c>
      <c r="J41" s="97">
        <f>AVERAGE(B41:I41)</f>
        <v>754847.875</v>
      </c>
    </row>
    <row r="42" spans="1:10" s="2" customFormat="1" ht="13.8">
      <c r="A42" s="124" t="s">
        <v>117</v>
      </c>
      <c r="B42" s="139">
        <v>425285</v>
      </c>
      <c r="C42" s="139">
        <v>332825</v>
      </c>
      <c r="D42" s="139">
        <v>369075</v>
      </c>
      <c r="E42" s="139">
        <v>457642</v>
      </c>
      <c r="F42" s="157">
        <v>569450</v>
      </c>
      <c r="G42" s="157">
        <v>477153</v>
      </c>
      <c r="H42" s="157">
        <v>872786</v>
      </c>
      <c r="I42" s="158">
        <v>1209138</v>
      </c>
      <c r="J42" s="97">
        <f>AVERAGE(B42:I42)</f>
        <v>589169.25</v>
      </c>
    </row>
    <row r="43" spans="1:10" s="2" customFormat="1" ht="27.6">
      <c r="A43" s="140" t="s">
        <v>134</v>
      </c>
      <c r="B43" s="139">
        <v>334228</v>
      </c>
      <c r="C43" s="139">
        <v>261076</v>
      </c>
      <c r="D43" s="139">
        <v>296243</v>
      </c>
      <c r="E43" s="139">
        <v>375360</v>
      </c>
      <c r="F43" s="157">
        <v>444750</v>
      </c>
      <c r="G43" s="157">
        <v>378174</v>
      </c>
      <c r="H43" s="157">
        <v>675677</v>
      </c>
      <c r="I43" s="158">
        <v>921048</v>
      </c>
      <c r="J43" s="97">
        <f t="shared" si="1"/>
        <v>460819.5</v>
      </c>
    </row>
    <row r="45" spans="1:10">
      <c r="J45" s="7"/>
    </row>
    <row r="46" spans="1:10">
      <c r="J46" s="7"/>
    </row>
    <row r="47" spans="1:10">
      <c r="J47" s="7"/>
    </row>
    <row r="48" spans="1:10">
      <c r="J48" s="7"/>
    </row>
    <row r="49" spans="10:10">
      <c r="J49" s="7"/>
    </row>
    <row r="50" spans="10:10">
      <c r="J50" s="7"/>
    </row>
    <row r="51" spans="10:10">
      <c r="J51" s="7"/>
    </row>
    <row r="52" spans="10:10">
      <c r="J52" s="7"/>
    </row>
    <row r="53" spans="10:10">
      <c r="J53" s="7"/>
    </row>
    <row r="54" spans="10:10">
      <c r="J54" s="7"/>
    </row>
  </sheetData>
  <mergeCells count="10">
    <mergeCell ref="C1:C2"/>
    <mergeCell ref="J1:J2"/>
    <mergeCell ref="A1:A2"/>
    <mergeCell ref="B1:B2"/>
    <mergeCell ref="I1:I2"/>
    <mergeCell ref="G1:G2"/>
    <mergeCell ref="H1:H2"/>
    <mergeCell ref="F1:F2"/>
    <mergeCell ref="D1:D2"/>
    <mergeCell ref="E1:E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8F44C-9603-4172-A584-E975D37875C7}">
  <dimension ref="A1:AH26"/>
  <sheetViews>
    <sheetView zoomScale="70" zoomScaleNormal="70" workbookViewId="0">
      <pane xSplit="1" topLeftCell="B1" activePane="topRight" state="frozen"/>
      <selection pane="topRight" activeCell="J23" sqref="J23"/>
    </sheetView>
  </sheetViews>
  <sheetFormatPr defaultRowHeight="14.4"/>
  <cols>
    <col min="1" max="1" width="48.77734375" customWidth="1"/>
    <col min="2" max="32" width="12.44140625" bestFit="1" customWidth="1"/>
    <col min="33" max="33" width="12.6640625" bestFit="1" customWidth="1"/>
  </cols>
  <sheetData>
    <row r="1" spans="1:34" ht="14.4" customHeight="1">
      <c r="A1" s="379" t="s">
        <v>3</v>
      </c>
      <c r="B1" s="375" t="s">
        <v>7</v>
      </c>
      <c r="C1" s="375" t="s">
        <v>8</v>
      </c>
      <c r="D1" s="375" t="s">
        <v>9</v>
      </c>
      <c r="E1" s="375" t="s">
        <v>10</v>
      </c>
      <c r="F1" s="375" t="s">
        <v>11</v>
      </c>
      <c r="G1" s="375" t="s">
        <v>12</v>
      </c>
      <c r="H1" s="375" t="s">
        <v>13</v>
      </c>
      <c r="I1" s="375" t="s">
        <v>14</v>
      </c>
      <c r="J1" s="375" t="s">
        <v>15</v>
      </c>
      <c r="K1" s="375" t="s">
        <v>16</v>
      </c>
      <c r="L1" s="375" t="s">
        <v>17</v>
      </c>
      <c r="M1" s="375" t="s">
        <v>18</v>
      </c>
      <c r="N1" s="375" t="s">
        <v>19</v>
      </c>
      <c r="O1" s="375" t="s">
        <v>20</v>
      </c>
      <c r="P1" s="375" t="s">
        <v>21</v>
      </c>
      <c r="Q1" s="375" t="s">
        <v>22</v>
      </c>
      <c r="R1" s="375" t="s">
        <v>23</v>
      </c>
      <c r="S1" s="375" t="s">
        <v>24</v>
      </c>
      <c r="T1" s="375" t="s">
        <v>25</v>
      </c>
      <c r="U1" s="375" t="s">
        <v>26</v>
      </c>
      <c r="V1" s="375" t="s">
        <v>27</v>
      </c>
      <c r="W1" s="375" t="s">
        <v>28</v>
      </c>
      <c r="X1" s="375" t="s">
        <v>29</v>
      </c>
      <c r="Y1" s="375" t="s">
        <v>30</v>
      </c>
      <c r="Z1" s="375" t="s">
        <v>31</v>
      </c>
      <c r="AA1" s="375" t="s">
        <v>32</v>
      </c>
      <c r="AB1" s="375" t="s">
        <v>33</v>
      </c>
      <c r="AC1" s="375" t="s">
        <v>34</v>
      </c>
      <c r="AD1" s="375" t="s">
        <v>35</v>
      </c>
      <c r="AE1" s="375" t="s">
        <v>36</v>
      </c>
      <c r="AF1" s="375" t="s">
        <v>37</v>
      </c>
      <c r="AG1" s="375" t="s">
        <v>38</v>
      </c>
    </row>
    <row r="2" spans="1:34" ht="14.4" customHeight="1">
      <c r="A2" s="379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376"/>
      <c r="AG2" s="376"/>
    </row>
    <row r="3" spans="1:34" s="2" customFormat="1" ht="20.399999999999999">
      <c r="A3" s="81" t="s">
        <v>135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4" s="2" customFormat="1">
      <c r="A4" s="56" t="s">
        <v>43</v>
      </c>
      <c r="B4" s="42">
        <v>2621041</v>
      </c>
      <c r="C4" s="42">
        <v>2734517</v>
      </c>
      <c r="D4" s="42">
        <v>2809287</v>
      </c>
      <c r="E4" s="43">
        <v>3153847</v>
      </c>
      <c r="F4" s="42">
        <v>3197113</v>
      </c>
      <c r="G4" s="42">
        <v>3239781</v>
      </c>
      <c r="H4" s="42">
        <v>3240208</v>
      </c>
      <c r="I4" s="43">
        <v>3356757</v>
      </c>
      <c r="J4" s="42">
        <v>3468843</v>
      </c>
      <c r="K4" s="42">
        <v>3595625</v>
      </c>
      <c r="L4" s="42">
        <v>3667288</v>
      </c>
      <c r="M4" s="43">
        <v>3663014</v>
      </c>
      <c r="N4" s="42">
        <v>3773492</v>
      </c>
      <c r="O4" s="42">
        <v>3868720</v>
      </c>
      <c r="P4" s="42">
        <v>3990527</v>
      </c>
      <c r="Q4" s="43">
        <v>4060598</v>
      </c>
      <c r="R4" s="44">
        <v>4050445</v>
      </c>
      <c r="S4" s="44">
        <v>4073806</v>
      </c>
      <c r="T4" s="44">
        <v>4116617</v>
      </c>
      <c r="U4" s="45">
        <v>4323181</v>
      </c>
      <c r="V4" s="44">
        <v>4412731</v>
      </c>
      <c r="W4" s="44">
        <v>4590351</v>
      </c>
      <c r="X4" s="44">
        <v>4687255</v>
      </c>
      <c r="Y4" s="45">
        <v>4827079</v>
      </c>
      <c r="Z4" s="44">
        <v>4881181</v>
      </c>
      <c r="AA4" s="44">
        <v>5211086</v>
      </c>
      <c r="AB4" s="44">
        <v>5347385</v>
      </c>
      <c r="AC4" s="45">
        <v>5495302</v>
      </c>
      <c r="AD4" s="44">
        <v>5557069</v>
      </c>
      <c r="AE4" s="44">
        <v>5739828</v>
      </c>
      <c r="AF4" s="44">
        <v>5972286</v>
      </c>
      <c r="AG4" s="45">
        <v>6556794</v>
      </c>
      <c r="AH4" s="7"/>
    </row>
    <row r="5" spans="1:34" s="2" customFormat="1" ht="13.8">
      <c r="A5" s="59" t="s">
        <v>42</v>
      </c>
      <c r="B5" s="38"/>
      <c r="C5" s="38"/>
      <c r="D5" s="38"/>
      <c r="E5" s="39"/>
      <c r="F5" s="38"/>
      <c r="G5" s="38"/>
      <c r="H5" s="38"/>
      <c r="I5" s="39"/>
      <c r="J5" s="38"/>
      <c r="K5" s="38"/>
      <c r="L5" s="38"/>
      <c r="M5" s="39"/>
      <c r="N5" s="38"/>
      <c r="O5" s="38"/>
      <c r="P5" s="38"/>
      <c r="Q5" s="39"/>
      <c r="R5" s="40"/>
      <c r="S5" s="40"/>
      <c r="T5" s="40"/>
      <c r="U5" s="41"/>
      <c r="V5" s="40"/>
      <c r="W5" s="40"/>
      <c r="X5" s="40"/>
      <c r="Y5" s="41"/>
      <c r="Z5" s="40"/>
      <c r="AA5" s="40"/>
      <c r="AB5" s="40"/>
      <c r="AC5" s="41"/>
      <c r="AD5" s="40"/>
      <c r="AE5" s="40"/>
      <c r="AF5" s="40"/>
      <c r="AG5" s="41"/>
      <c r="AH5" s="7"/>
    </row>
    <row r="6" spans="1:34" s="2" customFormat="1" ht="13.8">
      <c r="A6" s="60" t="s">
        <v>66</v>
      </c>
      <c r="B6" s="38">
        <v>15811746</v>
      </c>
      <c r="C6" s="38">
        <v>17240904</v>
      </c>
      <c r="D6" s="38">
        <v>18127544</v>
      </c>
      <c r="E6" s="39">
        <v>19112760</v>
      </c>
      <c r="F6" s="38">
        <v>19933475</v>
      </c>
      <c r="G6" s="38">
        <v>21075784</v>
      </c>
      <c r="H6" s="38">
        <v>21584750</v>
      </c>
      <c r="I6" s="39">
        <v>22177414</v>
      </c>
      <c r="J6" s="38">
        <v>22360586</v>
      </c>
      <c r="K6" s="38">
        <v>22604937</v>
      </c>
      <c r="L6" s="38">
        <v>19957975</v>
      </c>
      <c r="M6" s="39">
        <v>21064781</v>
      </c>
      <c r="N6" s="38">
        <v>20440043</v>
      </c>
      <c r="O6" s="38">
        <v>20126125</v>
      </c>
      <c r="P6" s="38">
        <v>20734606</v>
      </c>
      <c r="Q6" s="39">
        <v>22030496</v>
      </c>
      <c r="R6" s="40">
        <v>21751196</v>
      </c>
      <c r="S6" s="40">
        <v>24330473</v>
      </c>
      <c r="T6" s="40">
        <v>29198079</v>
      </c>
      <c r="U6" s="41">
        <v>26862479</v>
      </c>
      <c r="V6" s="40">
        <v>32117232</v>
      </c>
      <c r="W6" s="40">
        <v>35438050</v>
      </c>
      <c r="X6" s="40">
        <v>37037384</v>
      </c>
      <c r="Y6" s="41">
        <v>39974514</v>
      </c>
      <c r="Z6" s="40">
        <v>46786226</v>
      </c>
      <c r="AA6" s="40">
        <v>50111873</v>
      </c>
      <c r="AB6" s="40">
        <v>59965244</v>
      </c>
      <c r="AC6" s="41">
        <v>57390586</v>
      </c>
      <c r="AD6" s="40">
        <v>62128163</v>
      </c>
      <c r="AE6" s="40">
        <v>60836334</v>
      </c>
      <c r="AF6" s="40">
        <v>62284849</v>
      </c>
      <c r="AG6" s="41">
        <v>84477543</v>
      </c>
      <c r="AH6" s="7"/>
    </row>
    <row r="7" spans="1:34" s="2" customFormat="1" ht="27.6">
      <c r="A7" s="60" t="s">
        <v>64</v>
      </c>
      <c r="B7" s="38">
        <v>13872</v>
      </c>
      <c r="C7" s="38">
        <v>15698</v>
      </c>
      <c r="D7" s="38">
        <v>17103</v>
      </c>
      <c r="E7" s="39">
        <v>9482</v>
      </c>
      <c r="F7" s="38">
        <v>42599</v>
      </c>
      <c r="G7" s="38">
        <v>37096</v>
      </c>
      <c r="H7" s="38">
        <v>41364</v>
      </c>
      <c r="I7" s="39">
        <v>33354</v>
      </c>
      <c r="J7" s="38">
        <v>126533</v>
      </c>
      <c r="K7" s="38">
        <v>49221</v>
      </c>
      <c r="L7" s="38">
        <v>14386</v>
      </c>
      <c r="M7" s="39">
        <v>32357</v>
      </c>
      <c r="N7" s="38">
        <v>41759</v>
      </c>
      <c r="O7" s="38">
        <v>53330</v>
      </c>
      <c r="P7" s="38">
        <v>15017</v>
      </c>
      <c r="Q7" s="39">
        <v>27518</v>
      </c>
      <c r="R7" s="40">
        <v>10040847</v>
      </c>
      <c r="S7" s="40">
        <v>9830073</v>
      </c>
      <c r="T7" s="40">
        <v>12098540</v>
      </c>
      <c r="U7" s="41">
        <v>12014618</v>
      </c>
      <c r="V7" s="40">
        <v>11237661</v>
      </c>
      <c r="W7" s="40">
        <v>7548028</v>
      </c>
      <c r="X7" s="40">
        <v>5019484</v>
      </c>
      <c r="Y7" s="41">
        <v>3764639</v>
      </c>
      <c r="Z7" s="40">
        <v>3689688</v>
      </c>
      <c r="AA7" s="40">
        <v>8511652</v>
      </c>
      <c r="AB7" s="40">
        <v>9621939</v>
      </c>
      <c r="AC7" s="41">
        <v>13367036</v>
      </c>
      <c r="AD7" s="40">
        <v>10080896</v>
      </c>
      <c r="AE7" s="40">
        <v>9438031</v>
      </c>
      <c r="AF7" s="40">
        <v>8724949</v>
      </c>
      <c r="AG7" s="41">
        <v>9908207</v>
      </c>
      <c r="AH7" s="7"/>
    </row>
    <row r="8" spans="1:34" s="2" customFormat="1" ht="13.8">
      <c r="A8" s="60" t="s">
        <v>65</v>
      </c>
      <c r="B8" s="38">
        <v>5603181</v>
      </c>
      <c r="C8" s="38">
        <v>7267657</v>
      </c>
      <c r="D8" s="38">
        <v>7641985</v>
      </c>
      <c r="E8" s="39">
        <v>8569415</v>
      </c>
      <c r="F8" s="38">
        <v>10112202</v>
      </c>
      <c r="G8" s="38">
        <v>8786389</v>
      </c>
      <c r="H8" s="38">
        <v>9735570</v>
      </c>
      <c r="I8" s="39">
        <v>8657646</v>
      </c>
      <c r="J8" s="38">
        <v>8955929</v>
      </c>
      <c r="K8" s="38">
        <v>9128159</v>
      </c>
      <c r="L8" s="38">
        <v>9349529</v>
      </c>
      <c r="M8" s="39">
        <v>10256573</v>
      </c>
      <c r="N8" s="38">
        <v>10679742</v>
      </c>
      <c r="O8" s="38">
        <v>4499819</v>
      </c>
      <c r="P8" s="38">
        <v>9510930</v>
      </c>
      <c r="Q8" s="39">
        <v>9683679</v>
      </c>
      <c r="R8" s="40" t="s">
        <v>1</v>
      </c>
      <c r="S8" s="40">
        <v>757086</v>
      </c>
      <c r="T8" s="40">
        <v>1254638</v>
      </c>
      <c r="U8" s="41" t="s">
        <v>1</v>
      </c>
      <c r="V8" s="40" t="s">
        <v>1</v>
      </c>
      <c r="W8" s="40" t="s">
        <v>1</v>
      </c>
      <c r="X8" s="40" t="s">
        <v>1</v>
      </c>
      <c r="Y8" s="41" t="s">
        <v>1</v>
      </c>
      <c r="Z8" s="40" t="s">
        <v>1</v>
      </c>
      <c r="AA8" s="40" t="s">
        <v>1</v>
      </c>
      <c r="AB8" s="40">
        <v>400000</v>
      </c>
      <c r="AC8" s="41" t="s">
        <v>1</v>
      </c>
      <c r="AD8" s="40">
        <v>2307889</v>
      </c>
      <c r="AE8" s="40">
        <v>4444655</v>
      </c>
      <c r="AF8" s="40">
        <v>1772844</v>
      </c>
      <c r="AG8" s="41">
        <v>6528730</v>
      </c>
      <c r="AH8" s="7"/>
    </row>
    <row r="9" spans="1:34" s="2" customFormat="1" ht="27.6">
      <c r="A9" s="60" t="s">
        <v>106</v>
      </c>
      <c r="B9" s="38">
        <v>716926</v>
      </c>
      <c r="C9" s="38">
        <v>629033</v>
      </c>
      <c r="D9" s="38">
        <v>693242</v>
      </c>
      <c r="E9" s="39">
        <v>652629</v>
      </c>
      <c r="F9" s="38">
        <v>813860</v>
      </c>
      <c r="G9" s="38">
        <v>939004</v>
      </c>
      <c r="H9" s="38">
        <v>762516</v>
      </c>
      <c r="I9" s="39">
        <v>972544</v>
      </c>
      <c r="J9" s="38">
        <v>906390</v>
      </c>
      <c r="K9" s="38">
        <v>1267005</v>
      </c>
      <c r="L9" s="38">
        <v>998848</v>
      </c>
      <c r="M9" s="39">
        <v>547774</v>
      </c>
      <c r="N9" s="38">
        <v>515166</v>
      </c>
      <c r="O9" s="38">
        <v>450151</v>
      </c>
      <c r="P9" s="38">
        <v>320215</v>
      </c>
      <c r="Q9" s="39">
        <v>510534</v>
      </c>
      <c r="R9" s="40" t="s">
        <v>1</v>
      </c>
      <c r="S9" s="40" t="s">
        <v>1</v>
      </c>
      <c r="T9" s="40" t="s">
        <v>1</v>
      </c>
      <c r="U9" s="41" t="s">
        <v>1</v>
      </c>
      <c r="V9" s="40" t="s">
        <v>1</v>
      </c>
      <c r="W9" s="40" t="s">
        <v>1</v>
      </c>
      <c r="X9" s="40" t="s">
        <v>1</v>
      </c>
      <c r="Y9" s="41" t="s">
        <v>1</v>
      </c>
      <c r="Z9" s="40" t="s">
        <v>1</v>
      </c>
      <c r="AA9" s="40" t="s">
        <v>1</v>
      </c>
      <c r="AB9" s="40" t="s">
        <v>1</v>
      </c>
      <c r="AC9" s="41" t="s">
        <v>1</v>
      </c>
      <c r="AD9" s="40" t="s">
        <v>1</v>
      </c>
      <c r="AE9" s="40" t="s">
        <v>1</v>
      </c>
      <c r="AF9" s="40" t="s">
        <v>1</v>
      </c>
      <c r="AG9" s="41" t="s">
        <v>1</v>
      </c>
      <c r="AH9" s="7"/>
    </row>
    <row r="10" spans="1:34" s="2" customFormat="1" ht="27.6">
      <c r="A10" s="60" t="s">
        <v>107</v>
      </c>
      <c r="B10" s="38" t="s">
        <v>1</v>
      </c>
      <c r="C10" s="38" t="s">
        <v>1</v>
      </c>
      <c r="D10" s="38" t="s">
        <v>1</v>
      </c>
      <c r="E10" s="39" t="s">
        <v>1</v>
      </c>
      <c r="F10" s="38" t="s">
        <v>1</v>
      </c>
      <c r="G10" s="38" t="s">
        <v>1</v>
      </c>
      <c r="H10" s="38" t="s">
        <v>1</v>
      </c>
      <c r="I10" s="39" t="s">
        <v>1</v>
      </c>
      <c r="J10" s="38" t="s">
        <v>1</v>
      </c>
      <c r="K10" s="38" t="s">
        <v>1</v>
      </c>
      <c r="L10" s="38" t="s">
        <v>1</v>
      </c>
      <c r="M10" s="39" t="s">
        <v>1</v>
      </c>
      <c r="N10" s="38" t="s">
        <v>1</v>
      </c>
      <c r="O10" s="38">
        <v>4912143</v>
      </c>
      <c r="P10" s="38" t="s">
        <v>1</v>
      </c>
      <c r="Q10" s="39" t="s">
        <v>1</v>
      </c>
      <c r="R10" s="40" t="s">
        <v>1</v>
      </c>
      <c r="S10" s="40" t="s">
        <v>1</v>
      </c>
      <c r="T10" s="40" t="s">
        <v>1</v>
      </c>
      <c r="U10" s="41" t="s">
        <v>1</v>
      </c>
      <c r="V10" s="40" t="s">
        <v>1</v>
      </c>
      <c r="W10" s="40" t="s">
        <v>1</v>
      </c>
      <c r="X10" s="40" t="s">
        <v>1</v>
      </c>
      <c r="Y10" s="41" t="s">
        <v>1</v>
      </c>
      <c r="Z10" s="40" t="s">
        <v>1</v>
      </c>
      <c r="AA10" s="40" t="s">
        <v>1</v>
      </c>
      <c r="AB10" s="40" t="s">
        <v>1</v>
      </c>
      <c r="AC10" s="41" t="s">
        <v>1</v>
      </c>
      <c r="AD10" s="40" t="s">
        <v>1</v>
      </c>
      <c r="AE10" s="40" t="s">
        <v>1</v>
      </c>
      <c r="AF10" s="40" t="s">
        <v>1</v>
      </c>
      <c r="AG10" s="41" t="s">
        <v>1</v>
      </c>
      <c r="AH10" s="7"/>
    </row>
    <row r="11" spans="1:34" s="2" customFormat="1" ht="27.6">
      <c r="A11" s="61" t="s">
        <v>53</v>
      </c>
      <c r="B11" s="38">
        <v>617409</v>
      </c>
      <c r="C11" s="38">
        <v>704335</v>
      </c>
      <c r="D11" s="38">
        <v>861308</v>
      </c>
      <c r="E11" s="39">
        <v>948336</v>
      </c>
      <c r="F11" s="38">
        <v>905602</v>
      </c>
      <c r="G11" s="38">
        <v>872184</v>
      </c>
      <c r="H11" s="38">
        <v>959379</v>
      </c>
      <c r="I11" s="39">
        <v>1018769</v>
      </c>
      <c r="J11" s="38">
        <v>1064021</v>
      </c>
      <c r="K11" s="38">
        <v>1107128</v>
      </c>
      <c r="L11" s="38">
        <v>1016503</v>
      </c>
      <c r="M11" s="39">
        <v>872663</v>
      </c>
      <c r="N11" s="38">
        <v>875827</v>
      </c>
      <c r="O11" s="38">
        <v>838806</v>
      </c>
      <c r="P11" s="38">
        <v>840711</v>
      </c>
      <c r="Q11" s="39">
        <v>807502</v>
      </c>
      <c r="R11" s="40">
        <v>208087</v>
      </c>
      <c r="S11" s="40">
        <v>361684</v>
      </c>
      <c r="T11" s="40">
        <v>526926</v>
      </c>
      <c r="U11" s="41">
        <v>426045</v>
      </c>
      <c r="V11" s="40">
        <v>366918</v>
      </c>
      <c r="W11" s="40">
        <v>95965</v>
      </c>
      <c r="X11" s="40">
        <v>130210</v>
      </c>
      <c r="Y11" s="41">
        <v>134286</v>
      </c>
      <c r="Z11" s="40">
        <v>196461</v>
      </c>
      <c r="AA11" s="40">
        <v>46613</v>
      </c>
      <c r="AB11" s="40">
        <v>256954</v>
      </c>
      <c r="AC11" s="41">
        <v>324251</v>
      </c>
      <c r="AD11" s="40">
        <v>230549</v>
      </c>
      <c r="AE11" s="40">
        <v>52988</v>
      </c>
      <c r="AF11" s="40">
        <v>92745</v>
      </c>
      <c r="AG11" s="41">
        <v>364117</v>
      </c>
      <c r="AH11" s="7"/>
    </row>
    <row r="12" spans="1:34" s="2" customFormat="1" ht="13.8">
      <c r="A12" s="60" t="s">
        <v>70</v>
      </c>
      <c r="B12" s="38">
        <v>781791</v>
      </c>
      <c r="C12" s="38">
        <v>956053</v>
      </c>
      <c r="D12" s="38">
        <v>880551</v>
      </c>
      <c r="E12" s="39">
        <v>423768</v>
      </c>
      <c r="F12" s="38">
        <v>721752</v>
      </c>
      <c r="G12" s="38">
        <v>973695</v>
      </c>
      <c r="H12" s="38">
        <v>1032043</v>
      </c>
      <c r="I12" s="39">
        <v>821511</v>
      </c>
      <c r="J12" s="38">
        <v>719400</v>
      </c>
      <c r="K12" s="38">
        <v>1062093</v>
      </c>
      <c r="L12" s="38">
        <v>1038510</v>
      </c>
      <c r="M12" s="39">
        <v>519957</v>
      </c>
      <c r="N12" s="38">
        <v>677906</v>
      </c>
      <c r="O12" s="38">
        <v>925891</v>
      </c>
      <c r="P12" s="38">
        <v>270228</v>
      </c>
      <c r="Q12" s="39">
        <v>251946</v>
      </c>
      <c r="R12" s="40" t="s">
        <v>1</v>
      </c>
      <c r="S12" s="40" t="s">
        <v>1</v>
      </c>
      <c r="T12" s="40" t="s">
        <v>1</v>
      </c>
      <c r="U12" s="41" t="s">
        <v>1</v>
      </c>
      <c r="V12" s="40">
        <v>263668</v>
      </c>
      <c r="W12" s="40">
        <v>282407</v>
      </c>
      <c r="X12" s="40">
        <v>291605</v>
      </c>
      <c r="Y12" s="41">
        <v>302217</v>
      </c>
      <c r="Z12" s="40">
        <v>315789</v>
      </c>
      <c r="AA12" s="40">
        <v>344248</v>
      </c>
      <c r="AB12" s="40">
        <v>338055</v>
      </c>
      <c r="AC12" s="41">
        <v>341098</v>
      </c>
      <c r="AD12" s="40">
        <v>347073</v>
      </c>
      <c r="AE12" s="40">
        <v>373683</v>
      </c>
      <c r="AF12" s="40">
        <v>370535</v>
      </c>
      <c r="AG12" s="41">
        <v>372189</v>
      </c>
      <c r="AH12" s="7"/>
    </row>
    <row r="13" spans="1:34" s="2" customFormat="1" ht="13.8">
      <c r="A13" s="60" t="s">
        <v>55</v>
      </c>
      <c r="B13" s="38">
        <v>101960</v>
      </c>
      <c r="C13" s="38">
        <v>101969</v>
      </c>
      <c r="D13" s="38">
        <v>140261</v>
      </c>
      <c r="E13" s="39">
        <v>143600</v>
      </c>
      <c r="F13" s="38">
        <v>80757</v>
      </c>
      <c r="G13" s="38">
        <v>80766</v>
      </c>
      <c r="H13" s="38" t="s">
        <v>1</v>
      </c>
      <c r="I13" s="39" t="s">
        <v>1</v>
      </c>
      <c r="J13" s="38">
        <v>102284</v>
      </c>
      <c r="K13" s="38">
        <v>105132</v>
      </c>
      <c r="L13" s="38">
        <v>102162</v>
      </c>
      <c r="M13" s="39">
        <v>104771</v>
      </c>
      <c r="N13" s="38">
        <v>50593</v>
      </c>
      <c r="O13" s="38" t="s">
        <v>1</v>
      </c>
      <c r="P13" s="38" t="s">
        <v>1</v>
      </c>
      <c r="Q13" s="39" t="s">
        <v>1</v>
      </c>
      <c r="R13" s="40">
        <v>183234</v>
      </c>
      <c r="S13" s="40">
        <v>217075</v>
      </c>
      <c r="T13" s="40">
        <v>273981</v>
      </c>
      <c r="U13" s="41">
        <v>254128</v>
      </c>
      <c r="V13" s="40">
        <v>247535</v>
      </c>
      <c r="W13" s="40">
        <v>247778</v>
      </c>
      <c r="X13" s="40">
        <v>294030</v>
      </c>
      <c r="Y13" s="41">
        <v>331220</v>
      </c>
      <c r="Z13" s="40">
        <v>376592</v>
      </c>
      <c r="AA13" s="40">
        <v>352450</v>
      </c>
      <c r="AB13" s="40">
        <v>349424</v>
      </c>
      <c r="AC13" s="41">
        <v>366460</v>
      </c>
      <c r="AD13" s="40">
        <v>355989</v>
      </c>
      <c r="AE13" s="40">
        <v>379131</v>
      </c>
      <c r="AF13" s="40">
        <v>400519</v>
      </c>
      <c r="AG13" s="41">
        <v>450977</v>
      </c>
      <c r="AH13" s="7"/>
    </row>
    <row r="14" spans="1:34" s="2" customFormat="1" ht="27.6">
      <c r="A14" s="60" t="s">
        <v>103</v>
      </c>
      <c r="B14" s="38" t="s">
        <v>1</v>
      </c>
      <c r="C14" s="38" t="s">
        <v>1</v>
      </c>
      <c r="D14" s="38">
        <v>3168</v>
      </c>
      <c r="E14" s="39">
        <v>51547</v>
      </c>
      <c r="F14" s="38">
        <v>113000</v>
      </c>
      <c r="G14" s="38">
        <v>138360</v>
      </c>
      <c r="H14" s="38">
        <v>349908</v>
      </c>
      <c r="I14" s="39">
        <v>284543</v>
      </c>
      <c r="J14" s="38">
        <v>197403</v>
      </c>
      <c r="K14" s="38">
        <v>220362</v>
      </c>
      <c r="L14" s="38">
        <v>240180</v>
      </c>
      <c r="M14" s="39">
        <v>352675</v>
      </c>
      <c r="N14" s="38">
        <v>344155</v>
      </c>
      <c r="O14" s="38">
        <v>297404</v>
      </c>
      <c r="P14" s="38">
        <v>283576</v>
      </c>
      <c r="Q14" s="39">
        <v>256796</v>
      </c>
      <c r="R14" s="40">
        <v>48753</v>
      </c>
      <c r="S14" s="40">
        <v>107883</v>
      </c>
      <c r="T14" s="40">
        <v>120493</v>
      </c>
      <c r="U14" s="41">
        <v>69714</v>
      </c>
      <c r="V14" s="40">
        <v>60200</v>
      </c>
      <c r="W14" s="40">
        <v>71857</v>
      </c>
      <c r="X14" s="40">
        <v>71532</v>
      </c>
      <c r="Y14" s="41">
        <v>141689</v>
      </c>
      <c r="Z14" s="40">
        <v>142204</v>
      </c>
      <c r="AA14" s="40">
        <v>135463</v>
      </c>
      <c r="AB14" s="40">
        <v>147901</v>
      </c>
      <c r="AC14" s="41">
        <v>101186</v>
      </c>
      <c r="AD14" s="40">
        <v>140782</v>
      </c>
      <c r="AE14" s="40">
        <v>91451</v>
      </c>
      <c r="AF14" s="40">
        <v>187059</v>
      </c>
      <c r="AG14" s="41">
        <v>357623</v>
      </c>
      <c r="AH14" s="7"/>
    </row>
    <row r="15" spans="1:34" s="2" customFormat="1" ht="13.8">
      <c r="A15" s="60" t="s">
        <v>73</v>
      </c>
      <c r="B15" s="38">
        <v>328978</v>
      </c>
      <c r="C15" s="38">
        <v>302280</v>
      </c>
      <c r="D15" s="38">
        <v>317653</v>
      </c>
      <c r="E15" s="39">
        <v>353976</v>
      </c>
      <c r="F15" s="38">
        <v>365891</v>
      </c>
      <c r="G15" s="38">
        <v>383361</v>
      </c>
      <c r="H15" s="38">
        <v>416413</v>
      </c>
      <c r="I15" s="39">
        <v>440280</v>
      </c>
      <c r="J15" s="38">
        <v>441922</v>
      </c>
      <c r="K15" s="38">
        <v>430132</v>
      </c>
      <c r="L15" s="38">
        <v>436006</v>
      </c>
      <c r="M15" s="39">
        <v>438439</v>
      </c>
      <c r="N15" s="38">
        <v>422958</v>
      </c>
      <c r="O15" s="38">
        <v>424459</v>
      </c>
      <c r="P15" s="38">
        <v>417249</v>
      </c>
      <c r="Q15" s="39">
        <v>428980</v>
      </c>
      <c r="R15" s="48" t="s">
        <v>1</v>
      </c>
      <c r="S15" s="48" t="s">
        <v>1</v>
      </c>
      <c r="T15" s="48" t="s">
        <v>1</v>
      </c>
      <c r="U15" s="49" t="s">
        <v>1</v>
      </c>
      <c r="V15" s="48" t="s">
        <v>1</v>
      </c>
      <c r="W15" s="48" t="s">
        <v>1</v>
      </c>
      <c r="X15" s="48" t="s">
        <v>1</v>
      </c>
      <c r="Y15" s="49" t="s">
        <v>1</v>
      </c>
      <c r="Z15" s="48" t="s">
        <v>1</v>
      </c>
      <c r="AA15" s="48" t="s">
        <v>1</v>
      </c>
      <c r="AB15" s="48" t="s">
        <v>1</v>
      </c>
      <c r="AC15" s="49" t="s">
        <v>1</v>
      </c>
      <c r="AD15" s="48" t="s">
        <v>1</v>
      </c>
      <c r="AE15" s="48" t="s">
        <v>1</v>
      </c>
      <c r="AF15" s="48" t="s">
        <v>1</v>
      </c>
      <c r="AG15" s="49" t="s">
        <v>1</v>
      </c>
      <c r="AH15" s="7"/>
    </row>
    <row r="16" spans="1:34" s="2" customFormat="1" ht="27.6">
      <c r="A16" s="60" t="s">
        <v>74</v>
      </c>
      <c r="B16" s="46">
        <v>53198</v>
      </c>
      <c r="C16" s="46">
        <v>61038</v>
      </c>
      <c r="D16" s="46">
        <v>61711</v>
      </c>
      <c r="E16" s="47">
        <v>75430</v>
      </c>
      <c r="F16" s="46">
        <v>67277</v>
      </c>
      <c r="G16" s="46">
        <v>68806</v>
      </c>
      <c r="H16" s="46">
        <v>71126</v>
      </c>
      <c r="I16" s="47">
        <v>80458</v>
      </c>
      <c r="J16" s="46">
        <v>57243</v>
      </c>
      <c r="K16" s="46">
        <v>56023</v>
      </c>
      <c r="L16" s="46">
        <v>61474</v>
      </c>
      <c r="M16" s="47">
        <v>64213</v>
      </c>
      <c r="N16" s="46">
        <v>69177</v>
      </c>
      <c r="O16" s="46">
        <v>67553</v>
      </c>
      <c r="P16" s="46">
        <v>38350</v>
      </c>
      <c r="Q16" s="47">
        <v>62510</v>
      </c>
      <c r="R16" s="40" t="s">
        <v>1</v>
      </c>
      <c r="S16" s="40" t="s">
        <v>1</v>
      </c>
      <c r="T16" s="40" t="s">
        <v>1</v>
      </c>
      <c r="U16" s="41" t="s">
        <v>1</v>
      </c>
      <c r="V16" s="40" t="s">
        <v>1</v>
      </c>
      <c r="W16" s="40" t="s">
        <v>1</v>
      </c>
      <c r="X16" s="40" t="s">
        <v>1</v>
      </c>
      <c r="Y16" s="41" t="s">
        <v>1</v>
      </c>
      <c r="Z16" s="40" t="s">
        <v>1</v>
      </c>
      <c r="AA16" s="40" t="s">
        <v>1</v>
      </c>
      <c r="AB16" s="40" t="s">
        <v>1</v>
      </c>
      <c r="AC16" s="41" t="s">
        <v>1</v>
      </c>
      <c r="AD16" s="40" t="s">
        <v>1</v>
      </c>
      <c r="AE16" s="40" t="s">
        <v>1</v>
      </c>
      <c r="AF16" s="40" t="s">
        <v>1</v>
      </c>
      <c r="AG16" s="41" t="s">
        <v>1</v>
      </c>
      <c r="AH16" s="7"/>
    </row>
    <row r="17" spans="1:34" s="2" customFormat="1" ht="27.6">
      <c r="A17" s="60" t="s">
        <v>104</v>
      </c>
      <c r="B17" s="38" t="s">
        <v>1</v>
      </c>
      <c r="C17" s="38" t="s">
        <v>1</v>
      </c>
      <c r="D17" s="38" t="s">
        <v>1</v>
      </c>
      <c r="E17" s="39" t="s">
        <v>1</v>
      </c>
      <c r="F17" s="38" t="s">
        <v>1</v>
      </c>
      <c r="G17" s="38" t="s">
        <v>1</v>
      </c>
      <c r="H17" s="38" t="s">
        <v>1</v>
      </c>
      <c r="I17" s="39" t="s">
        <v>1</v>
      </c>
      <c r="J17" s="38" t="s">
        <v>1</v>
      </c>
      <c r="K17" s="38" t="s">
        <v>1</v>
      </c>
      <c r="L17" s="38" t="s">
        <v>1</v>
      </c>
      <c r="M17" s="39" t="s">
        <v>1</v>
      </c>
      <c r="N17" s="38" t="s">
        <v>1</v>
      </c>
      <c r="O17" s="38" t="s">
        <v>1</v>
      </c>
      <c r="P17" s="38" t="s">
        <v>1</v>
      </c>
      <c r="Q17" s="39" t="s">
        <v>1</v>
      </c>
      <c r="R17" s="40">
        <v>1011153</v>
      </c>
      <c r="S17" s="40">
        <v>1161578</v>
      </c>
      <c r="T17" s="40">
        <v>1538288</v>
      </c>
      <c r="U17" s="41">
        <v>1326515</v>
      </c>
      <c r="V17" s="40">
        <v>1403351</v>
      </c>
      <c r="W17" s="40">
        <v>1453514</v>
      </c>
      <c r="X17" s="40">
        <v>1432705</v>
      </c>
      <c r="Y17" s="41">
        <v>1497558</v>
      </c>
      <c r="Z17" s="40">
        <v>1649852</v>
      </c>
      <c r="AA17" s="40">
        <v>1724385</v>
      </c>
      <c r="AB17" s="40">
        <v>1976738</v>
      </c>
      <c r="AC17" s="41">
        <v>1836471</v>
      </c>
      <c r="AD17" s="40">
        <v>2129368</v>
      </c>
      <c r="AE17" s="40">
        <v>2177364</v>
      </c>
      <c r="AF17" s="40">
        <v>2262214</v>
      </c>
      <c r="AG17" s="41">
        <v>3246755</v>
      </c>
      <c r="AH17" s="7"/>
    </row>
    <row r="18" spans="1:34" s="2" customFormat="1" ht="13.8">
      <c r="A18" s="64" t="s">
        <v>105</v>
      </c>
      <c r="B18" s="42" t="s">
        <v>1</v>
      </c>
      <c r="C18" s="42" t="s">
        <v>1</v>
      </c>
      <c r="D18" s="42" t="s">
        <v>1</v>
      </c>
      <c r="E18" s="43" t="s">
        <v>1</v>
      </c>
      <c r="F18" s="42">
        <v>261071</v>
      </c>
      <c r="G18" s="42">
        <v>676494</v>
      </c>
      <c r="H18" s="42" t="s">
        <v>1</v>
      </c>
      <c r="I18" s="43">
        <v>733023</v>
      </c>
      <c r="J18" s="42">
        <v>717418</v>
      </c>
      <c r="K18" s="42">
        <v>729343</v>
      </c>
      <c r="L18" s="42">
        <v>758564</v>
      </c>
      <c r="M18" s="43">
        <v>890500</v>
      </c>
      <c r="N18" s="42">
        <v>921290</v>
      </c>
      <c r="O18" s="42">
        <v>883532</v>
      </c>
      <c r="P18" s="42">
        <v>904040</v>
      </c>
      <c r="Q18" s="43">
        <v>960338</v>
      </c>
      <c r="R18" s="42">
        <v>1177073</v>
      </c>
      <c r="S18" s="42">
        <v>1084574</v>
      </c>
      <c r="T18" s="42">
        <v>1402049</v>
      </c>
      <c r="U18" s="43">
        <v>1775804</v>
      </c>
      <c r="V18" s="42">
        <v>1108971</v>
      </c>
      <c r="W18" s="42">
        <v>1028074</v>
      </c>
      <c r="X18" s="42">
        <v>1666525</v>
      </c>
      <c r="Y18" s="43">
        <v>1454208</v>
      </c>
      <c r="Z18" s="42">
        <v>1600592</v>
      </c>
      <c r="AA18" s="42">
        <v>2041439</v>
      </c>
      <c r="AB18" s="42">
        <v>2244601</v>
      </c>
      <c r="AC18" s="43">
        <v>2148432</v>
      </c>
      <c r="AD18" s="42">
        <v>2422100</v>
      </c>
      <c r="AE18" s="42">
        <v>2833296</v>
      </c>
      <c r="AF18" s="42">
        <v>2823128</v>
      </c>
      <c r="AG18" s="43">
        <v>3380328</v>
      </c>
      <c r="AH18" s="7"/>
    </row>
    <row r="19" spans="1:34" s="18" customFormat="1" ht="13.8">
      <c r="A19" s="58" t="s">
        <v>44</v>
      </c>
      <c r="B19" s="53">
        <f t="shared" ref="B19:AG19" si="0">SUM(B6:B18)</f>
        <v>24029061</v>
      </c>
      <c r="C19" s="53">
        <f t="shared" si="0"/>
        <v>27278967</v>
      </c>
      <c r="D19" s="53">
        <f t="shared" si="0"/>
        <v>28744526</v>
      </c>
      <c r="E19" s="55">
        <f t="shared" si="0"/>
        <v>30340943</v>
      </c>
      <c r="F19" s="53">
        <f t="shared" si="0"/>
        <v>33417486</v>
      </c>
      <c r="G19" s="53">
        <f t="shared" si="0"/>
        <v>34031939</v>
      </c>
      <c r="H19" s="53">
        <f t="shared" si="0"/>
        <v>34953069</v>
      </c>
      <c r="I19" s="55">
        <f t="shared" si="0"/>
        <v>35219542</v>
      </c>
      <c r="J19" s="53">
        <f t="shared" si="0"/>
        <v>35649129</v>
      </c>
      <c r="K19" s="53">
        <f t="shared" si="0"/>
        <v>36759535</v>
      </c>
      <c r="L19" s="53">
        <f t="shared" si="0"/>
        <v>33974137</v>
      </c>
      <c r="M19" s="55">
        <f t="shared" si="0"/>
        <v>35144703</v>
      </c>
      <c r="N19" s="53">
        <f t="shared" si="0"/>
        <v>35038616</v>
      </c>
      <c r="O19" s="53">
        <f t="shared" si="0"/>
        <v>33479213</v>
      </c>
      <c r="P19" s="53">
        <f t="shared" si="0"/>
        <v>33334922</v>
      </c>
      <c r="Q19" s="55">
        <f t="shared" si="0"/>
        <v>35020299</v>
      </c>
      <c r="R19" s="53">
        <f t="shared" si="0"/>
        <v>34420343</v>
      </c>
      <c r="S19" s="53">
        <f t="shared" si="0"/>
        <v>37850426</v>
      </c>
      <c r="T19" s="53">
        <f t="shared" si="0"/>
        <v>46412994</v>
      </c>
      <c r="U19" s="55">
        <f t="shared" si="0"/>
        <v>42729303</v>
      </c>
      <c r="V19" s="53">
        <f t="shared" si="0"/>
        <v>46805536</v>
      </c>
      <c r="W19" s="53">
        <f t="shared" si="0"/>
        <v>46165673</v>
      </c>
      <c r="X19" s="53">
        <f t="shared" si="0"/>
        <v>45943475</v>
      </c>
      <c r="Y19" s="55">
        <f t="shared" si="0"/>
        <v>47600331</v>
      </c>
      <c r="Z19" s="53">
        <f t="shared" si="0"/>
        <v>54757404</v>
      </c>
      <c r="AA19" s="53">
        <f t="shared" si="0"/>
        <v>63268123</v>
      </c>
      <c r="AB19" s="53">
        <f t="shared" si="0"/>
        <v>75300856</v>
      </c>
      <c r="AC19" s="55">
        <f t="shared" si="0"/>
        <v>75875520</v>
      </c>
      <c r="AD19" s="53">
        <f t="shared" si="0"/>
        <v>80142809</v>
      </c>
      <c r="AE19" s="53">
        <f t="shared" si="0"/>
        <v>80626933</v>
      </c>
      <c r="AF19" s="53">
        <f t="shared" si="0"/>
        <v>78918842</v>
      </c>
      <c r="AG19" s="55">
        <f t="shared" si="0"/>
        <v>109086469</v>
      </c>
      <c r="AH19" s="14"/>
    </row>
    <row r="20" spans="1:34" s="33" customFormat="1" ht="13.8">
      <c r="A20" s="145" t="s">
        <v>45</v>
      </c>
      <c r="B20" s="44">
        <f t="shared" ref="B20:AG20" si="1">B19+B4</f>
        <v>26650102</v>
      </c>
      <c r="C20" s="44">
        <f t="shared" si="1"/>
        <v>30013484</v>
      </c>
      <c r="D20" s="44">
        <f t="shared" si="1"/>
        <v>31553813</v>
      </c>
      <c r="E20" s="45">
        <f t="shared" si="1"/>
        <v>33494790</v>
      </c>
      <c r="F20" s="44">
        <f t="shared" si="1"/>
        <v>36614599</v>
      </c>
      <c r="G20" s="44">
        <f t="shared" si="1"/>
        <v>37271720</v>
      </c>
      <c r="H20" s="44">
        <f t="shared" si="1"/>
        <v>38193277</v>
      </c>
      <c r="I20" s="45">
        <f t="shared" si="1"/>
        <v>38576299</v>
      </c>
      <c r="J20" s="44">
        <f t="shared" si="1"/>
        <v>39117972</v>
      </c>
      <c r="K20" s="44">
        <f t="shared" si="1"/>
        <v>40355160</v>
      </c>
      <c r="L20" s="44">
        <f t="shared" si="1"/>
        <v>37641425</v>
      </c>
      <c r="M20" s="45">
        <f t="shared" si="1"/>
        <v>38807717</v>
      </c>
      <c r="N20" s="44">
        <f t="shared" si="1"/>
        <v>38812108</v>
      </c>
      <c r="O20" s="44">
        <f t="shared" si="1"/>
        <v>37347933</v>
      </c>
      <c r="P20" s="44">
        <f t="shared" si="1"/>
        <v>37325449</v>
      </c>
      <c r="Q20" s="45">
        <f t="shared" si="1"/>
        <v>39080897</v>
      </c>
      <c r="R20" s="44">
        <f t="shared" si="1"/>
        <v>38470788</v>
      </c>
      <c r="S20" s="44">
        <f t="shared" si="1"/>
        <v>41924232</v>
      </c>
      <c r="T20" s="44">
        <f t="shared" si="1"/>
        <v>50529611</v>
      </c>
      <c r="U20" s="45">
        <f t="shared" si="1"/>
        <v>47052484</v>
      </c>
      <c r="V20" s="44">
        <f t="shared" si="1"/>
        <v>51218267</v>
      </c>
      <c r="W20" s="44">
        <f t="shared" si="1"/>
        <v>50756024</v>
      </c>
      <c r="X20" s="44">
        <f t="shared" si="1"/>
        <v>50630730</v>
      </c>
      <c r="Y20" s="45">
        <f t="shared" si="1"/>
        <v>52427410</v>
      </c>
      <c r="Z20" s="44">
        <f t="shared" si="1"/>
        <v>59638585</v>
      </c>
      <c r="AA20" s="44">
        <f t="shared" si="1"/>
        <v>68479209</v>
      </c>
      <c r="AB20" s="44">
        <f t="shared" si="1"/>
        <v>80648241</v>
      </c>
      <c r="AC20" s="45">
        <f t="shared" si="1"/>
        <v>81370822</v>
      </c>
      <c r="AD20" s="44">
        <f t="shared" si="1"/>
        <v>85699878</v>
      </c>
      <c r="AE20" s="44">
        <f t="shared" si="1"/>
        <v>86366761</v>
      </c>
      <c r="AF20" s="44">
        <f t="shared" si="1"/>
        <v>84891128</v>
      </c>
      <c r="AG20" s="45">
        <f t="shared" si="1"/>
        <v>115643263</v>
      </c>
      <c r="AH20" s="52"/>
    </row>
    <row r="21" spans="1:34" s="33" customFormat="1" ht="20.399999999999999">
      <c r="A21" s="82" t="s">
        <v>136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</row>
    <row r="22" spans="1:34" s="2" customFormat="1" ht="13.8">
      <c r="A22" s="79" t="s">
        <v>41</v>
      </c>
      <c r="B22" s="2">
        <v>12.5</v>
      </c>
      <c r="C22" s="2">
        <v>12.23</v>
      </c>
      <c r="D22" s="2">
        <v>12.35</v>
      </c>
      <c r="E22" s="17">
        <v>12.47</v>
      </c>
      <c r="F22" s="2">
        <v>12.6</v>
      </c>
      <c r="G22" s="2">
        <v>13.62</v>
      </c>
      <c r="H22" s="2">
        <v>13.05</v>
      </c>
      <c r="I22" s="17">
        <v>13.51</v>
      </c>
      <c r="J22" s="2">
        <v>13.35</v>
      </c>
      <c r="K22" s="2">
        <v>13.67</v>
      </c>
      <c r="L22" s="2">
        <v>14.81</v>
      </c>
      <c r="M22" s="17">
        <v>15.58</v>
      </c>
      <c r="N22" s="2">
        <v>15.99</v>
      </c>
      <c r="O22" s="2">
        <v>17.53</v>
      </c>
      <c r="P22" s="2">
        <v>18.29</v>
      </c>
      <c r="Q22" s="17">
        <v>18.22</v>
      </c>
      <c r="R22" s="2">
        <v>19.329999999999998</v>
      </c>
      <c r="S22" s="2">
        <v>18.64</v>
      </c>
      <c r="T22" s="2">
        <v>19.03</v>
      </c>
      <c r="U22" s="17">
        <v>16.62</v>
      </c>
      <c r="V22" s="2">
        <v>14.96</v>
      </c>
      <c r="W22" s="2">
        <v>16.559999999999999</v>
      </c>
      <c r="X22" s="2">
        <v>17.670000000000002</v>
      </c>
      <c r="Y22" s="17">
        <v>17.260000000000002</v>
      </c>
      <c r="Z22" s="2">
        <v>15.97</v>
      </c>
      <c r="AA22" s="2">
        <v>16.87</v>
      </c>
      <c r="AB22" s="2">
        <v>15.66</v>
      </c>
      <c r="AC22" s="17">
        <v>16.64</v>
      </c>
      <c r="AD22" s="2">
        <v>16.21</v>
      </c>
      <c r="AE22" s="2">
        <v>16.09</v>
      </c>
      <c r="AF22" s="2">
        <v>17.16</v>
      </c>
      <c r="AG22" s="17">
        <v>17.850000000000001</v>
      </c>
    </row>
    <row r="23" spans="1:34" s="2" customFormat="1" ht="13.8">
      <c r="A23" s="79" t="s">
        <v>62</v>
      </c>
      <c r="B23" s="2">
        <f t="shared" ref="B23:AG23" si="2">B4/B20*100</f>
        <v>9.8350130142091015</v>
      </c>
      <c r="C23" s="2">
        <f t="shared" si="2"/>
        <v>9.1109615931292751</v>
      </c>
      <c r="D23" s="2">
        <f t="shared" si="2"/>
        <v>8.9031617193142392</v>
      </c>
      <c r="E23" s="17">
        <f t="shared" si="2"/>
        <v>9.4159330451094032</v>
      </c>
      <c r="F23" s="2">
        <f t="shared" si="2"/>
        <v>8.7317984828947601</v>
      </c>
      <c r="G23" s="2">
        <f t="shared" si="2"/>
        <v>8.6923302707790242</v>
      </c>
      <c r="H23" s="2">
        <f t="shared" si="2"/>
        <v>8.4837129843558596</v>
      </c>
      <c r="I23" s="17">
        <f t="shared" si="2"/>
        <v>8.7016045785003904</v>
      </c>
      <c r="J23" s="2">
        <f t="shared" si="2"/>
        <v>8.867645285905926</v>
      </c>
      <c r="K23" s="2">
        <f t="shared" si="2"/>
        <v>8.9099510446743366</v>
      </c>
      <c r="L23" s="2">
        <f t="shared" si="2"/>
        <v>9.7426917285942292</v>
      </c>
      <c r="M23" s="17">
        <f t="shared" si="2"/>
        <v>9.4388804164903597</v>
      </c>
      <c r="N23" s="2">
        <f t="shared" si="2"/>
        <v>9.7224608361906029</v>
      </c>
      <c r="O23" s="2">
        <f t="shared" si="2"/>
        <v>10.358592000258755</v>
      </c>
      <c r="P23" s="2">
        <f t="shared" si="2"/>
        <v>10.69116944849076</v>
      </c>
      <c r="Q23" s="17">
        <f t="shared" si="2"/>
        <v>10.390237460516834</v>
      </c>
      <c r="R23" s="2">
        <f t="shared" si="2"/>
        <v>10.528624992032915</v>
      </c>
      <c r="S23" s="2">
        <f t="shared" si="2"/>
        <v>9.7170676853424531</v>
      </c>
      <c r="T23" s="2">
        <f t="shared" si="2"/>
        <v>8.1469398210882726</v>
      </c>
      <c r="U23" s="17">
        <f t="shared" si="2"/>
        <v>9.187997386067865</v>
      </c>
      <c r="V23" s="2">
        <f t="shared" si="2"/>
        <v>8.6155414043977707</v>
      </c>
      <c r="W23" s="2">
        <f t="shared" si="2"/>
        <v>9.0439530882088004</v>
      </c>
      <c r="X23" s="2">
        <f t="shared" si="2"/>
        <v>9.2577274710437703</v>
      </c>
      <c r="Y23" s="17">
        <f t="shared" si="2"/>
        <v>9.2071666328739106</v>
      </c>
      <c r="Z23" s="2">
        <f t="shared" si="2"/>
        <v>8.1846023006749746</v>
      </c>
      <c r="AA23" s="2">
        <f t="shared" si="2"/>
        <v>7.6097345108060459</v>
      </c>
      <c r="AB23" s="2">
        <f t="shared" si="2"/>
        <v>6.6305041916537268</v>
      </c>
      <c r="AC23" s="17">
        <f t="shared" si="2"/>
        <v>6.7534060304810488</v>
      </c>
      <c r="AD23" s="2">
        <f t="shared" si="2"/>
        <v>6.4843371188929817</v>
      </c>
      <c r="AE23" s="2">
        <f t="shared" si="2"/>
        <v>6.6458761837786176</v>
      </c>
      <c r="AF23" s="2">
        <f t="shared" si="2"/>
        <v>7.0352298770255475</v>
      </c>
      <c r="AG23" s="17">
        <f t="shared" si="2"/>
        <v>5.6698452031745248</v>
      </c>
    </row>
    <row r="24" spans="1:34" s="2" customFormat="1" ht="13.8">
      <c r="A24" s="79" t="s">
        <v>46</v>
      </c>
      <c r="B24" s="2">
        <f t="shared" ref="B24:AG24" si="3">B19/B4</f>
        <v>9.1677547203572924</v>
      </c>
      <c r="C24" s="2">
        <f t="shared" si="3"/>
        <v>9.9757898744092657</v>
      </c>
      <c r="D24" s="2">
        <f t="shared" si="3"/>
        <v>10.231964907821807</v>
      </c>
      <c r="E24" s="17">
        <f t="shared" si="3"/>
        <v>9.6202964189448625</v>
      </c>
      <c r="F24" s="2">
        <f t="shared" si="3"/>
        <v>10.452394394567849</v>
      </c>
      <c r="G24" s="2">
        <f t="shared" si="3"/>
        <v>10.504394895827835</v>
      </c>
      <c r="H24" s="2">
        <f t="shared" si="3"/>
        <v>10.787291741764726</v>
      </c>
      <c r="I24" s="17">
        <f t="shared" si="3"/>
        <v>10.492133329877618</v>
      </c>
      <c r="J24" s="2">
        <f t="shared" si="3"/>
        <v>10.276950844993561</v>
      </c>
      <c r="K24" s="2">
        <f t="shared" si="3"/>
        <v>10.223406222840257</v>
      </c>
      <c r="L24" s="2">
        <f t="shared" si="3"/>
        <v>9.2641038827602298</v>
      </c>
      <c r="M24" s="17">
        <f t="shared" si="3"/>
        <v>9.5944768433863477</v>
      </c>
      <c r="N24" s="2">
        <f t="shared" si="3"/>
        <v>9.2854618480706996</v>
      </c>
      <c r="O24" s="2">
        <f t="shared" si="3"/>
        <v>8.653821677454042</v>
      </c>
      <c r="P24" s="2">
        <f t="shared" si="3"/>
        <v>8.3535137088409623</v>
      </c>
      <c r="Q24" s="17">
        <f t="shared" si="3"/>
        <v>8.6244191126528662</v>
      </c>
      <c r="R24" s="2">
        <f t="shared" si="3"/>
        <v>8.4979164017780757</v>
      </c>
      <c r="S24" s="2">
        <f t="shared" si="3"/>
        <v>9.2911704681077101</v>
      </c>
      <c r="T24" s="2">
        <f t="shared" si="3"/>
        <v>11.274547522881045</v>
      </c>
      <c r="U24" s="17">
        <f t="shared" si="3"/>
        <v>9.8837645243167014</v>
      </c>
      <c r="V24" s="2">
        <f t="shared" si="3"/>
        <v>10.606931625789109</v>
      </c>
      <c r="W24" s="2">
        <f t="shared" si="3"/>
        <v>10.057111754634885</v>
      </c>
      <c r="X24" s="2">
        <f t="shared" si="3"/>
        <v>9.8017869733991425</v>
      </c>
      <c r="Y24" s="17">
        <f t="shared" si="3"/>
        <v>9.8611046141983589</v>
      </c>
      <c r="Z24" s="2">
        <f t="shared" si="3"/>
        <v>11.218064644601379</v>
      </c>
      <c r="AA24" s="2">
        <f t="shared" si="3"/>
        <v>12.141062918554789</v>
      </c>
      <c r="AB24" s="2">
        <f t="shared" si="3"/>
        <v>14.081809332973032</v>
      </c>
      <c r="AC24" s="17">
        <f t="shared" si="3"/>
        <v>13.807343072318865</v>
      </c>
      <c r="AD24" s="2">
        <f t="shared" si="3"/>
        <v>14.421776839553369</v>
      </c>
      <c r="AE24" s="2">
        <f t="shared" si="3"/>
        <v>14.046924925276507</v>
      </c>
      <c r="AF24" s="2">
        <f t="shared" si="3"/>
        <v>13.214176615118566</v>
      </c>
      <c r="AG24" s="17">
        <f t="shared" si="3"/>
        <v>16.637165816098538</v>
      </c>
    </row>
    <row r="25" spans="1:34" s="2" customFormat="1" ht="13.8">
      <c r="A25" s="79" t="s">
        <v>47</v>
      </c>
      <c r="B25" s="2">
        <f t="shared" ref="B25:AG25" si="4">B20/B4</f>
        <v>10.167754720357292</v>
      </c>
      <c r="C25" s="2">
        <f t="shared" si="4"/>
        <v>10.975789874409266</v>
      </c>
      <c r="D25" s="2">
        <f t="shared" si="4"/>
        <v>11.231964907821807</v>
      </c>
      <c r="E25" s="17">
        <f t="shared" si="4"/>
        <v>10.620296418944863</v>
      </c>
      <c r="F25" s="2">
        <f t="shared" si="4"/>
        <v>11.452394394567849</v>
      </c>
      <c r="G25" s="2">
        <f t="shared" si="4"/>
        <v>11.504394895827835</v>
      </c>
      <c r="H25" s="2">
        <f t="shared" si="4"/>
        <v>11.787291741764726</v>
      </c>
      <c r="I25" s="17">
        <f t="shared" si="4"/>
        <v>11.492133329877618</v>
      </c>
      <c r="J25" s="2">
        <f t="shared" si="4"/>
        <v>11.276950844993561</v>
      </c>
      <c r="K25" s="2">
        <f t="shared" si="4"/>
        <v>11.223406222840257</v>
      </c>
      <c r="L25" s="2">
        <f t="shared" si="4"/>
        <v>10.26410388276023</v>
      </c>
      <c r="M25" s="17">
        <f t="shared" si="4"/>
        <v>10.594476843386348</v>
      </c>
      <c r="N25" s="2">
        <f t="shared" si="4"/>
        <v>10.2854618480707</v>
      </c>
      <c r="O25" s="2">
        <f t="shared" si="4"/>
        <v>9.653821677454042</v>
      </c>
      <c r="P25" s="2">
        <f t="shared" si="4"/>
        <v>9.3535137088409623</v>
      </c>
      <c r="Q25" s="17">
        <f t="shared" si="4"/>
        <v>9.6244191126528662</v>
      </c>
      <c r="R25" s="2">
        <f t="shared" si="4"/>
        <v>9.4979164017780757</v>
      </c>
      <c r="S25" s="2">
        <f t="shared" si="4"/>
        <v>10.29117046810771</v>
      </c>
      <c r="T25" s="2">
        <f t="shared" si="4"/>
        <v>12.274547522881045</v>
      </c>
      <c r="U25" s="17">
        <f t="shared" si="4"/>
        <v>10.883764524316701</v>
      </c>
      <c r="V25" s="2">
        <f t="shared" si="4"/>
        <v>11.606931625789109</v>
      </c>
      <c r="W25" s="2">
        <f t="shared" si="4"/>
        <v>11.057111754634885</v>
      </c>
      <c r="X25" s="2">
        <f t="shared" si="4"/>
        <v>10.801786973399143</v>
      </c>
      <c r="Y25" s="17">
        <f t="shared" si="4"/>
        <v>10.861104614198359</v>
      </c>
      <c r="Z25" s="2">
        <f t="shared" si="4"/>
        <v>12.218064644601379</v>
      </c>
      <c r="AA25" s="2">
        <f t="shared" si="4"/>
        <v>13.141062918554789</v>
      </c>
      <c r="AB25" s="2">
        <f t="shared" si="4"/>
        <v>15.081809332973032</v>
      </c>
      <c r="AC25" s="17">
        <f t="shared" si="4"/>
        <v>14.807343072318865</v>
      </c>
      <c r="AD25" s="2">
        <f t="shared" si="4"/>
        <v>15.421776839553369</v>
      </c>
      <c r="AE25" s="2">
        <f t="shared" si="4"/>
        <v>15.046924925276507</v>
      </c>
      <c r="AF25" s="2">
        <f t="shared" si="4"/>
        <v>14.214176615118566</v>
      </c>
      <c r="AG25" s="17">
        <f t="shared" si="4"/>
        <v>17.637165816098538</v>
      </c>
    </row>
    <row r="26" spans="1:34" s="16" customFormat="1" ht="13.8">
      <c r="A26" s="79" t="s">
        <v>63</v>
      </c>
      <c r="B26" s="15">
        <f t="shared" ref="B26:AG26" si="5">B4/B19*100</f>
        <v>10.907796188956365</v>
      </c>
      <c r="C26" s="15">
        <f t="shared" si="5"/>
        <v>10.024268880856082</v>
      </c>
      <c r="D26" s="15">
        <f t="shared" si="5"/>
        <v>9.773293878632753</v>
      </c>
      <c r="E26" s="8">
        <f t="shared" si="5"/>
        <v>10.394690105709635</v>
      </c>
      <c r="F26" s="15">
        <f t="shared" si="5"/>
        <v>9.567185873886503</v>
      </c>
      <c r="G26" s="15">
        <f t="shared" si="5"/>
        <v>9.5198248915526094</v>
      </c>
      <c r="H26" s="15">
        <f t="shared" si="5"/>
        <v>9.2701673778631566</v>
      </c>
      <c r="I26" s="8">
        <f t="shared" si="5"/>
        <v>9.5309501753316379</v>
      </c>
      <c r="J26" s="15">
        <f t="shared" si="5"/>
        <v>9.7305126304768912</v>
      </c>
      <c r="K26" s="15">
        <f t="shared" si="5"/>
        <v>9.7814757450005825</v>
      </c>
      <c r="L26" s="15">
        <f t="shared" si="5"/>
        <v>10.794352186193869</v>
      </c>
      <c r="M26" s="8">
        <f t="shared" si="5"/>
        <v>10.422663125080328</v>
      </c>
      <c r="N26" s="15">
        <f t="shared" si="5"/>
        <v>10.76952354510806</v>
      </c>
      <c r="O26" s="15">
        <f t="shared" si="5"/>
        <v>11.555588239185909</v>
      </c>
      <c r="P26" s="15">
        <f t="shared" si="5"/>
        <v>11.971010461641399</v>
      </c>
      <c r="Q26" s="8">
        <f t="shared" si="5"/>
        <v>11.594983812102804</v>
      </c>
      <c r="R26" s="15">
        <f t="shared" si="5"/>
        <v>11.767590462419273</v>
      </c>
      <c r="S26" s="15">
        <f t="shared" si="5"/>
        <v>10.762906605067007</v>
      </c>
      <c r="T26" s="15">
        <f t="shared" si="5"/>
        <v>8.8695355442917556</v>
      </c>
      <c r="U26" s="8">
        <f t="shared" si="5"/>
        <v>10.117602433159277</v>
      </c>
      <c r="V26" s="15">
        <f t="shared" si="5"/>
        <v>9.4277971733941897</v>
      </c>
      <c r="W26" s="15">
        <f t="shared" si="5"/>
        <v>9.943212568351381</v>
      </c>
      <c r="X26" s="15">
        <f t="shared" si="5"/>
        <v>10.202221316519919</v>
      </c>
      <c r="Y26" s="8">
        <f t="shared" si="5"/>
        <v>10.140851751640129</v>
      </c>
      <c r="Z26" s="15">
        <f t="shared" si="5"/>
        <v>8.9141935947146074</v>
      </c>
      <c r="AA26" s="15">
        <f t="shared" si="5"/>
        <v>8.2365111416376298</v>
      </c>
      <c r="AB26" s="15">
        <f t="shared" si="5"/>
        <v>7.1013601757727693</v>
      </c>
      <c r="AC26" s="8">
        <f t="shared" si="5"/>
        <v>7.2425230166462118</v>
      </c>
      <c r="AD26" s="15">
        <f t="shared" si="5"/>
        <v>6.9339583542673182</v>
      </c>
      <c r="AE26" s="15">
        <f t="shared" si="5"/>
        <v>7.1189958323231775</v>
      </c>
      <c r="AF26" s="15">
        <f t="shared" si="5"/>
        <v>7.5676300470805185</v>
      </c>
      <c r="AG26" s="9">
        <f t="shared" si="5"/>
        <v>6.0106391380217827</v>
      </c>
    </row>
  </sheetData>
  <mergeCells count="33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AE1:AE2"/>
    <mergeCell ref="AF1:AF2"/>
    <mergeCell ref="AG1:AG2"/>
    <mergeCell ref="Z1:Z2"/>
    <mergeCell ref="AA1:AA2"/>
    <mergeCell ref="AB1:AB2"/>
    <mergeCell ref="AC1:AC2"/>
    <mergeCell ref="AD1:AD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FF0A6-EC10-4FAB-9D15-6B2B2599F1D3}">
  <dimension ref="A1:J43"/>
  <sheetViews>
    <sheetView zoomScale="70" zoomScaleNormal="70" workbookViewId="0">
      <pane xSplit="1" topLeftCell="B1" activePane="topRight" state="frozen"/>
      <selection activeCell="A4" sqref="A4"/>
      <selection pane="topRight" activeCell="I10" sqref="I10"/>
    </sheetView>
  </sheetViews>
  <sheetFormatPr defaultRowHeight="13.8"/>
  <cols>
    <col min="1" max="1" width="55.21875" style="2" customWidth="1"/>
    <col min="2" max="2" width="10.5546875" style="2" bestFit="1" customWidth="1"/>
    <col min="3" max="8" width="12.44140625" style="2" bestFit="1" customWidth="1"/>
    <col min="9" max="9" width="14.109375" style="2" bestFit="1" customWidth="1"/>
    <col min="10" max="10" width="14.6640625" style="2" bestFit="1" customWidth="1"/>
    <col min="11" max="16384" width="8.88671875" style="2"/>
  </cols>
  <sheetData>
    <row r="1" spans="1:10" ht="22.8" customHeight="1">
      <c r="A1" s="380" t="s">
        <v>5</v>
      </c>
      <c r="B1" s="367">
        <v>2014</v>
      </c>
      <c r="C1" s="367">
        <v>2015</v>
      </c>
      <c r="D1" s="367">
        <v>2016</v>
      </c>
      <c r="E1" s="367">
        <v>2017</v>
      </c>
      <c r="F1" s="367">
        <v>2018</v>
      </c>
      <c r="G1" s="367">
        <v>2019</v>
      </c>
      <c r="H1" s="367">
        <v>2020</v>
      </c>
      <c r="I1" s="369">
        <v>2021</v>
      </c>
      <c r="J1" s="371" t="s">
        <v>124</v>
      </c>
    </row>
    <row r="2" spans="1:10" ht="14.4" thickBot="1">
      <c r="A2" s="379"/>
      <c r="B2" s="368"/>
      <c r="C2" s="368"/>
      <c r="D2" s="368"/>
      <c r="E2" s="368"/>
      <c r="F2" s="368"/>
      <c r="G2" s="368"/>
      <c r="H2" s="368"/>
      <c r="I2" s="370"/>
      <c r="J2" s="372"/>
    </row>
    <row r="3" spans="1:10" s="94" customFormat="1" ht="20.399999999999999">
      <c r="A3" s="87" t="s">
        <v>135</v>
      </c>
      <c r="B3" s="146"/>
      <c r="C3" s="146"/>
      <c r="D3" s="146"/>
      <c r="E3" s="146"/>
      <c r="F3" s="146"/>
      <c r="G3" s="146"/>
      <c r="H3" s="146"/>
      <c r="I3" s="147"/>
      <c r="J3" s="97"/>
    </row>
    <row r="4" spans="1:10" s="94" customFormat="1" ht="26.4">
      <c r="A4" s="98" t="s">
        <v>149</v>
      </c>
      <c r="B4" s="150" t="s">
        <v>1</v>
      </c>
      <c r="C4" s="146">
        <v>167076</v>
      </c>
      <c r="D4" s="146">
        <v>1201298</v>
      </c>
      <c r="E4" s="146">
        <v>1643689</v>
      </c>
      <c r="F4" s="148">
        <v>2007313</v>
      </c>
      <c r="G4" s="148">
        <v>2894439</v>
      </c>
      <c r="H4" s="148">
        <v>5477120</v>
      </c>
      <c r="I4" s="149">
        <v>15290691</v>
      </c>
      <c r="J4" s="97">
        <f>AVERAGE(C4:I4)</f>
        <v>4097375.1428571427</v>
      </c>
    </row>
    <row r="5" spans="1:10" s="94" customFormat="1">
      <c r="A5" s="98" t="s">
        <v>142</v>
      </c>
      <c r="B5" s="150" t="s">
        <v>1</v>
      </c>
      <c r="C5" s="146">
        <v>112565</v>
      </c>
      <c r="D5" s="146">
        <v>468454</v>
      </c>
      <c r="E5" s="146">
        <v>278581</v>
      </c>
      <c r="F5" s="148">
        <v>802706</v>
      </c>
      <c r="G5" s="148">
        <v>916418</v>
      </c>
      <c r="H5" s="148">
        <v>4799768</v>
      </c>
      <c r="I5" s="149">
        <v>3350140</v>
      </c>
      <c r="J5" s="97">
        <f>AVERAGE(C5:I5)</f>
        <v>1532661.7142857143</v>
      </c>
    </row>
    <row r="6" spans="1:10" s="94" customFormat="1" ht="26.4">
      <c r="A6" s="98" t="s">
        <v>145</v>
      </c>
      <c r="B6" s="150" t="s">
        <v>1</v>
      </c>
      <c r="C6" s="146">
        <v>127022</v>
      </c>
      <c r="D6" s="146">
        <v>414683</v>
      </c>
      <c r="E6" s="146">
        <v>524173</v>
      </c>
      <c r="F6" s="148">
        <v>2386937</v>
      </c>
      <c r="G6" s="148">
        <v>1304375</v>
      </c>
      <c r="H6" s="148">
        <v>5145732</v>
      </c>
      <c r="I6" s="149">
        <v>8589570</v>
      </c>
      <c r="J6" s="97">
        <f>AVERAGE(C6:I6)</f>
        <v>2641784.5714285714</v>
      </c>
    </row>
    <row r="7" spans="1:10" s="94" customFormat="1">
      <c r="A7" s="98" t="s">
        <v>151</v>
      </c>
      <c r="B7" s="150" t="s">
        <v>1</v>
      </c>
      <c r="C7" s="146">
        <v>1690106</v>
      </c>
      <c r="D7" s="146">
        <v>5557942</v>
      </c>
      <c r="E7" s="146">
        <v>11374744</v>
      </c>
      <c r="F7" s="148">
        <v>17243990</v>
      </c>
      <c r="G7" s="148">
        <v>25908664</v>
      </c>
      <c r="H7" s="148">
        <v>38223417</v>
      </c>
      <c r="I7" s="149">
        <v>58588552</v>
      </c>
      <c r="J7" s="97">
        <f>AVERAGE(C7:I7)</f>
        <v>22655345</v>
      </c>
    </row>
    <row r="8" spans="1:10" s="94" customFormat="1">
      <c r="A8" s="98" t="s">
        <v>144</v>
      </c>
      <c r="B8" s="150" t="s">
        <v>1</v>
      </c>
      <c r="C8" s="146">
        <v>2</v>
      </c>
      <c r="D8" s="146">
        <v>10483</v>
      </c>
      <c r="E8" s="146">
        <v>34841</v>
      </c>
      <c r="F8" s="148">
        <v>240160</v>
      </c>
      <c r="G8" s="148">
        <v>675282</v>
      </c>
      <c r="H8" s="148">
        <v>1181058</v>
      </c>
      <c r="I8" s="149">
        <v>1698976</v>
      </c>
      <c r="J8" s="97">
        <f t="shared" ref="J8:J43" si="0">AVERAGE(B8:I8)</f>
        <v>548686</v>
      </c>
    </row>
    <row r="9" spans="1:10" s="94" customFormat="1">
      <c r="A9" s="88" t="s">
        <v>43</v>
      </c>
      <c r="B9" s="150" t="s">
        <v>1</v>
      </c>
      <c r="C9" s="150">
        <v>664530</v>
      </c>
      <c r="D9" s="150">
        <v>764621</v>
      </c>
      <c r="E9" s="150">
        <v>1403681</v>
      </c>
      <c r="F9" s="150">
        <v>2544897</v>
      </c>
      <c r="G9" s="150">
        <v>3166828</v>
      </c>
      <c r="H9" s="150">
        <v>3734273</v>
      </c>
      <c r="I9" s="151">
        <v>4321735</v>
      </c>
      <c r="J9" s="97">
        <f t="shared" si="0"/>
        <v>2371509.2857142859</v>
      </c>
    </row>
    <row r="10" spans="1:10" s="94" customFormat="1">
      <c r="A10" s="143"/>
      <c r="B10" s="146"/>
      <c r="C10" s="146"/>
      <c r="D10" s="146"/>
      <c r="E10" s="146"/>
      <c r="F10" s="148"/>
      <c r="G10" s="148"/>
      <c r="H10" s="148"/>
      <c r="I10" s="149"/>
      <c r="J10" s="97"/>
    </row>
    <row r="11" spans="1:10" s="94" customFormat="1">
      <c r="A11" s="101" t="s">
        <v>108</v>
      </c>
      <c r="B11" s="146" t="s">
        <v>1</v>
      </c>
      <c r="C11" s="146">
        <v>1256305</v>
      </c>
      <c r="D11" s="146">
        <v>5636002</v>
      </c>
      <c r="E11" s="146">
        <v>10024595</v>
      </c>
      <c r="F11" s="148">
        <v>15151098</v>
      </c>
      <c r="G11" s="148">
        <v>25457245</v>
      </c>
      <c r="H11" s="148">
        <v>46386150</v>
      </c>
      <c r="I11" s="149">
        <v>77933897</v>
      </c>
      <c r="J11" s="97">
        <f t="shared" si="0"/>
        <v>25977898.857142858</v>
      </c>
    </row>
    <row r="12" spans="1:10" s="94" customFormat="1" ht="27.6">
      <c r="A12" s="101" t="s">
        <v>64</v>
      </c>
      <c r="B12" s="146" t="s">
        <v>1</v>
      </c>
      <c r="C12" s="146" t="s">
        <v>1</v>
      </c>
      <c r="D12" s="146" t="s">
        <v>1</v>
      </c>
      <c r="E12" s="146">
        <v>6280</v>
      </c>
      <c r="F12" s="148">
        <v>6011425</v>
      </c>
      <c r="G12" s="148">
        <v>5978670</v>
      </c>
      <c r="H12" s="148">
        <v>5443864</v>
      </c>
      <c r="I12" s="149">
        <v>6164845</v>
      </c>
      <c r="J12" s="97">
        <f t="shared" si="0"/>
        <v>4721016.8</v>
      </c>
    </row>
    <row r="13" spans="1:10" s="94" customFormat="1">
      <c r="A13" s="101" t="s">
        <v>65</v>
      </c>
      <c r="B13" s="146" t="s">
        <v>1</v>
      </c>
      <c r="C13" s="146">
        <v>163905</v>
      </c>
      <c r="D13" s="146">
        <v>1287221</v>
      </c>
      <c r="E13" s="146">
        <v>2607114</v>
      </c>
      <c r="F13" s="148">
        <v>864414</v>
      </c>
      <c r="G13" s="148">
        <v>19135</v>
      </c>
      <c r="H13" s="148">
        <v>2101073</v>
      </c>
      <c r="I13" s="149">
        <v>3784645</v>
      </c>
      <c r="J13" s="97">
        <f t="shared" si="0"/>
        <v>1546786.7142857143</v>
      </c>
    </row>
    <row r="14" spans="1:10" s="94" customFormat="1">
      <c r="A14" s="101" t="s">
        <v>67</v>
      </c>
      <c r="B14" s="146" t="s">
        <v>1</v>
      </c>
      <c r="C14" s="146">
        <v>48536</v>
      </c>
      <c r="D14" s="146">
        <v>133668</v>
      </c>
      <c r="E14" s="146">
        <v>32462</v>
      </c>
      <c r="F14" s="148">
        <v>179895</v>
      </c>
      <c r="G14" s="148" t="s">
        <v>1</v>
      </c>
      <c r="H14" s="148" t="s">
        <v>1</v>
      </c>
      <c r="I14" s="149" t="s">
        <v>1</v>
      </c>
      <c r="J14" s="97">
        <f t="shared" si="0"/>
        <v>98640.25</v>
      </c>
    </row>
    <row r="15" spans="1:10" s="94" customFormat="1" ht="27.6">
      <c r="A15" s="101" t="s">
        <v>68</v>
      </c>
      <c r="B15" s="146" t="s">
        <v>1</v>
      </c>
      <c r="C15" s="146" t="s">
        <v>1</v>
      </c>
      <c r="D15" s="146" t="s">
        <v>1</v>
      </c>
      <c r="E15" s="146" t="s">
        <v>1</v>
      </c>
      <c r="F15" s="148" t="s">
        <v>1</v>
      </c>
      <c r="G15" s="148" t="s">
        <v>1</v>
      </c>
      <c r="H15" s="148" t="s">
        <v>1</v>
      </c>
      <c r="I15" s="149" t="s">
        <v>1</v>
      </c>
      <c r="J15" s="97"/>
    </row>
    <row r="16" spans="1:10" s="94" customFormat="1">
      <c r="A16" s="101" t="s">
        <v>69</v>
      </c>
      <c r="B16" s="146" t="s">
        <v>1</v>
      </c>
      <c r="C16" s="146">
        <v>19759</v>
      </c>
      <c r="D16" s="146">
        <v>17027</v>
      </c>
      <c r="E16" s="146">
        <v>35716</v>
      </c>
      <c r="F16" s="148">
        <v>6145</v>
      </c>
      <c r="G16" s="148">
        <v>12479</v>
      </c>
      <c r="H16" s="148">
        <v>19440</v>
      </c>
      <c r="I16" s="149">
        <v>71692</v>
      </c>
      <c r="J16" s="97">
        <f t="shared" si="0"/>
        <v>26036.857142857141</v>
      </c>
    </row>
    <row r="17" spans="1:10" s="94" customFormat="1">
      <c r="A17" s="101" t="s">
        <v>70</v>
      </c>
      <c r="B17" s="146" t="s">
        <v>1</v>
      </c>
      <c r="C17" s="146">
        <v>6239</v>
      </c>
      <c r="D17" s="146">
        <v>46526</v>
      </c>
      <c r="E17" s="146">
        <v>70570</v>
      </c>
      <c r="F17" s="148">
        <v>415</v>
      </c>
      <c r="G17" s="148">
        <v>110059</v>
      </c>
      <c r="H17" s="148">
        <v>127634</v>
      </c>
      <c r="I17" s="149">
        <v>194463</v>
      </c>
      <c r="J17" s="97">
        <f t="shared" si="0"/>
        <v>79415.142857142855</v>
      </c>
    </row>
    <row r="18" spans="1:10" s="94" customFormat="1">
      <c r="A18" s="101" t="s">
        <v>71</v>
      </c>
      <c r="B18" s="146" t="s">
        <v>1</v>
      </c>
      <c r="C18" s="146" t="s">
        <v>1</v>
      </c>
      <c r="D18" s="146" t="s">
        <v>1</v>
      </c>
      <c r="E18" s="146" t="s">
        <v>1</v>
      </c>
      <c r="F18" s="148">
        <v>133633</v>
      </c>
      <c r="G18" s="148">
        <v>235279</v>
      </c>
      <c r="H18" s="148">
        <v>409244</v>
      </c>
      <c r="I18" s="149">
        <v>647270</v>
      </c>
      <c r="J18" s="97">
        <f t="shared" si="0"/>
        <v>356356.5</v>
      </c>
    </row>
    <row r="19" spans="1:10" s="94" customFormat="1" ht="27.6">
      <c r="A19" s="101" t="s">
        <v>72</v>
      </c>
      <c r="B19" s="146" t="s">
        <v>1</v>
      </c>
      <c r="C19" s="146" t="s">
        <v>1</v>
      </c>
      <c r="D19" s="146" t="s">
        <v>1</v>
      </c>
      <c r="E19" s="146" t="s">
        <v>1</v>
      </c>
      <c r="F19" s="148">
        <v>43772</v>
      </c>
      <c r="G19" s="148">
        <v>122393</v>
      </c>
      <c r="H19" s="148">
        <v>96632</v>
      </c>
      <c r="I19" s="149">
        <v>350441</v>
      </c>
      <c r="J19" s="97">
        <f t="shared" si="0"/>
        <v>153309.5</v>
      </c>
    </row>
    <row r="20" spans="1:10" s="94" customFormat="1">
      <c r="A20" s="101" t="s">
        <v>73</v>
      </c>
      <c r="B20" s="146" t="s">
        <v>1</v>
      </c>
      <c r="C20" s="146">
        <v>14999</v>
      </c>
      <c r="D20" s="146">
        <v>64574</v>
      </c>
      <c r="E20" s="146">
        <v>142290</v>
      </c>
      <c r="F20" s="148" t="s">
        <v>1</v>
      </c>
      <c r="G20" s="148" t="s">
        <v>1</v>
      </c>
      <c r="H20" s="148" t="s">
        <v>1</v>
      </c>
      <c r="I20" s="149" t="s">
        <v>1</v>
      </c>
      <c r="J20" s="97">
        <f t="shared" si="0"/>
        <v>73954.333333333328</v>
      </c>
    </row>
    <row r="21" spans="1:10" s="94" customFormat="1" ht="27.6">
      <c r="A21" s="101" t="s">
        <v>74</v>
      </c>
      <c r="B21" s="146" t="s">
        <v>1</v>
      </c>
      <c r="C21" s="146">
        <v>3162</v>
      </c>
      <c r="D21" s="146">
        <v>9868</v>
      </c>
      <c r="E21" s="146">
        <v>27435</v>
      </c>
      <c r="F21" s="148" t="s">
        <v>1</v>
      </c>
      <c r="G21" s="148" t="s">
        <v>1</v>
      </c>
      <c r="H21" s="148" t="s">
        <v>1</v>
      </c>
      <c r="I21" s="149" t="s">
        <v>1</v>
      </c>
      <c r="J21" s="97">
        <f t="shared" si="0"/>
        <v>13488.333333333334</v>
      </c>
    </row>
    <row r="22" spans="1:10" s="94" customFormat="1" ht="27.6">
      <c r="A22" s="101" t="s">
        <v>75</v>
      </c>
      <c r="B22" s="146" t="s">
        <v>1</v>
      </c>
      <c r="C22" s="146" t="s">
        <v>1</v>
      </c>
      <c r="D22" s="146" t="s">
        <v>1</v>
      </c>
      <c r="E22" s="146" t="s">
        <v>1</v>
      </c>
      <c r="F22" s="148" t="s">
        <v>1</v>
      </c>
      <c r="G22" s="148">
        <v>849689</v>
      </c>
      <c r="H22" s="148">
        <v>1080526</v>
      </c>
      <c r="I22" s="149">
        <v>2655863</v>
      </c>
      <c r="J22" s="97">
        <f t="shared" si="0"/>
        <v>1528692.6666666667</v>
      </c>
    </row>
    <row r="23" spans="1:10" s="94" customFormat="1">
      <c r="A23" s="102" t="s">
        <v>59</v>
      </c>
      <c r="B23" s="150" t="s">
        <v>1</v>
      </c>
      <c r="C23" s="150" t="s">
        <v>1</v>
      </c>
      <c r="D23" s="150" t="s">
        <v>1</v>
      </c>
      <c r="E23" s="150" t="s">
        <v>1</v>
      </c>
      <c r="F23" s="166">
        <v>541662</v>
      </c>
      <c r="G23" s="166">
        <v>440397</v>
      </c>
      <c r="H23" s="166">
        <v>788160</v>
      </c>
      <c r="I23" s="167">
        <v>2187741</v>
      </c>
      <c r="J23" s="97">
        <f t="shared" si="0"/>
        <v>989490</v>
      </c>
    </row>
    <row r="24" spans="1:10" s="106" customFormat="1">
      <c r="A24" s="91" t="s">
        <v>44</v>
      </c>
      <c r="B24" s="152" t="s">
        <v>1</v>
      </c>
      <c r="C24" s="152">
        <f t="shared" ref="C24:I24" si="1">SUM(C11:C23)</f>
        <v>1512905</v>
      </c>
      <c r="D24" s="152">
        <f t="shared" si="1"/>
        <v>7194886</v>
      </c>
      <c r="E24" s="152">
        <f t="shared" si="1"/>
        <v>12946462</v>
      </c>
      <c r="F24" s="152">
        <f t="shared" si="1"/>
        <v>22932459</v>
      </c>
      <c r="G24" s="152">
        <f t="shared" si="1"/>
        <v>33225346</v>
      </c>
      <c r="H24" s="152">
        <f t="shared" si="1"/>
        <v>56452723</v>
      </c>
      <c r="I24" s="153">
        <f t="shared" si="1"/>
        <v>93990857</v>
      </c>
      <c r="J24" s="97">
        <f t="shared" si="0"/>
        <v>32607948.285714287</v>
      </c>
    </row>
    <row r="25" spans="1:10" s="111" customFormat="1">
      <c r="A25" s="164" t="s">
        <v>45</v>
      </c>
      <c r="B25" s="152" t="s">
        <v>1</v>
      </c>
      <c r="C25" s="152">
        <f t="shared" ref="C25:I25" si="2">C24+C9</f>
        <v>2177435</v>
      </c>
      <c r="D25" s="152">
        <f t="shared" si="2"/>
        <v>7959507</v>
      </c>
      <c r="E25" s="152">
        <f t="shared" si="2"/>
        <v>14350143</v>
      </c>
      <c r="F25" s="152">
        <f t="shared" si="2"/>
        <v>25477356</v>
      </c>
      <c r="G25" s="152">
        <f t="shared" si="2"/>
        <v>36392174</v>
      </c>
      <c r="H25" s="152">
        <f t="shared" si="2"/>
        <v>60186996</v>
      </c>
      <c r="I25" s="153">
        <f t="shared" si="2"/>
        <v>98312592</v>
      </c>
      <c r="J25" s="97">
        <f t="shared" si="0"/>
        <v>34979457.571428575</v>
      </c>
    </row>
    <row r="26" spans="1:10" s="111" customFormat="1">
      <c r="A26" s="107" t="s">
        <v>40</v>
      </c>
      <c r="B26" s="168" t="s">
        <v>1</v>
      </c>
      <c r="C26" s="108">
        <v>2177435</v>
      </c>
      <c r="D26" s="108">
        <v>7959507</v>
      </c>
      <c r="E26" s="108">
        <v>14350143</v>
      </c>
      <c r="F26" s="108">
        <v>25477356</v>
      </c>
      <c r="G26" s="108">
        <v>36392174</v>
      </c>
      <c r="H26" s="108">
        <v>60186996</v>
      </c>
      <c r="I26" s="109">
        <v>98312592</v>
      </c>
      <c r="J26" s="110">
        <f t="shared" si="0"/>
        <v>34979457.571428575</v>
      </c>
    </row>
    <row r="27" spans="1:10" s="111" customFormat="1" ht="20.399999999999999">
      <c r="A27" s="92" t="s">
        <v>136</v>
      </c>
      <c r="B27" s="154"/>
      <c r="C27" s="154"/>
      <c r="D27" s="154"/>
      <c r="E27" s="154"/>
      <c r="F27" s="154"/>
      <c r="G27" s="154"/>
      <c r="H27" s="154"/>
      <c r="I27" s="155"/>
      <c r="J27" s="97"/>
    </row>
    <row r="28" spans="1:10" s="94" customFormat="1">
      <c r="A28" s="115" t="s">
        <v>41</v>
      </c>
      <c r="B28" s="142" t="s">
        <v>1</v>
      </c>
      <c r="C28" s="142">
        <v>47.41</v>
      </c>
      <c r="D28" s="142">
        <v>12.46</v>
      </c>
      <c r="E28" s="142">
        <v>13.06</v>
      </c>
      <c r="F28" s="142">
        <v>12.76</v>
      </c>
      <c r="G28" s="142">
        <v>16.579999999999998</v>
      </c>
      <c r="H28" s="142">
        <v>14.75</v>
      </c>
      <c r="I28" s="156">
        <v>14.02</v>
      </c>
      <c r="J28" s="97">
        <f t="shared" si="0"/>
        <v>18.72</v>
      </c>
    </row>
    <row r="29" spans="1:10" s="94" customFormat="1">
      <c r="A29" s="115" t="s">
        <v>62</v>
      </c>
      <c r="B29" s="142" t="s">
        <v>1</v>
      </c>
      <c r="C29" s="142">
        <f t="shared" ref="C29:I29" si="3">C9/C25*100</f>
        <v>30.518936271346792</v>
      </c>
      <c r="D29" s="142">
        <f t="shared" si="3"/>
        <v>9.6063864256919427</v>
      </c>
      <c r="E29" s="142">
        <f t="shared" si="3"/>
        <v>9.7816516532274278</v>
      </c>
      <c r="F29" s="142">
        <f t="shared" si="3"/>
        <v>9.9888583415013699</v>
      </c>
      <c r="G29" s="142">
        <f t="shared" si="3"/>
        <v>8.7019478418629248</v>
      </c>
      <c r="H29" s="142">
        <f t="shared" si="3"/>
        <v>6.2044515396648139</v>
      </c>
      <c r="I29" s="156">
        <f t="shared" si="3"/>
        <v>4.3959119702591103</v>
      </c>
      <c r="J29" s="97">
        <f t="shared" si="0"/>
        <v>11.314020577650625</v>
      </c>
    </row>
    <row r="30" spans="1:10" s="94" customFormat="1">
      <c r="A30" s="115" t="s">
        <v>46</v>
      </c>
      <c r="B30" s="142" t="s">
        <v>1</v>
      </c>
      <c r="C30" s="142">
        <f t="shared" ref="C30:I30" si="4">C24/C9</f>
        <v>2.2766541766361188</v>
      </c>
      <c r="D30" s="142">
        <f t="shared" si="4"/>
        <v>9.4097415582360409</v>
      </c>
      <c r="E30" s="142">
        <f t="shared" si="4"/>
        <v>9.2232223703248817</v>
      </c>
      <c r="F30" s="142">
        <f t="shared" si="4"/>
        <v>9.011154086000337</v>
      </c>
      <c r="G30" s="142">
        <f t="shared" si="4"/>
        <v>10.49168000282933</v>
      </c>
      <c r="H30" s="142">
        <f t="shared" si="4"/>
        <v>15.117460078574865</v>
      </c>
      <c r="I30" s="156">
        <f t="shared" si="4"/>
        <v>21.748408220309667</v>
      </c>
      <c r="J30" s="97">
        <f t="shared" si="0"/>
        <v>11.039760070415893</v>
      </c>
    </row>
    <row r="31" spans="1:10" s="119" customFormat="1">
      <c r="A31" s="115" t="s">
        <v>47</v>
      </c>
      <c r="B31" s="142" t="s">
        <v>1</v>
      </c>
      <c r="C31" s="142">
        <f t="shared" ref="C31:I31" si="5">C25/C9</f>
        <v>3.2766541766361188</v>
      </c>
      <c r="D31" s="142">
        <f t="shared" si="5"/>
        <v>10.409741558236041</v>
      </c>
      <c r="E31" s="142">
        <f t="shared" si="5"/>
        <v>10.223222370324882</v>
      </c>
      <c r="F31" s="142">
        <f t="shared" si="5"/>
        <v>10.011154086000337</v>
      </c>
      <c r="G31" s="142">
        <f t="shared" si="5"/>
        <v>11.49168000282933</v>
      </c>
      <c r="H31" s="142">
        <f t="shared" si="5"/>
        <v>16.117460078574865</v>
      </c>
      <c r="I31" s="156">
        <f t="shared" si="5"/>
        <v>22.748408220309667</v>
      </c>
      <c r="J31" s="97">
        <f t="shared" si="0"/>
        <v>12.039760070415893</v>
      </c>
    </row>
    <row r="32" spans="1:10">
      <c r="A32" s="115" t="s">
        <v>63</v>
      </c>
      <c r="B32" s="142" t="s">
        <v>1</v>
      </c>
      <c r="C32" s="142">
        <f t="shared" ref="C32:I32" si="6">C9/C24*100</f>
        <v>43.924106272370047</v>
      </c>
      <c r="D32" s="142">
        <f t="shared" si="6"/>
        <v>10.627284435083475</v>
      </c>
      <c r="E32" s="142">
        <f t="shared" si="6"/>
        <v>10.842197659870319</v>
      </c>
      <c r="F32" s="142">
        <f t="shared" si="6"/>
        <v>11.097357679784798</v>
      </c>
      <c r="G32" s="142">
        <f t="shared" si="6"/>
        <v>9.5313619909330676</v>
      </c>
      <c r="H32" s="142">
        <f t="shared" si="6"/>
        <v>6.614867807173801</v>
      </c>
      <c r="I32" s="156">
        <f t="shared" si="6"/>
        <v>4.5980376580671036</v>
      </c>
      <c r="J32" s="97">
        <f t="shared" si="0"/>
        <v>13.890744786183228</v>
      </c>
    </row>
    <row r="33" spans="1:10" s="125" customFormat="1" ht="20.399999999999999">
      <c r="A33" s="93" t="s">
        <v>137</v>
      </c>
      <c r="B33" s="139"/>
      <c r="C33" s="139"/>
      <c r="D33" s="139"/>
      <c r="E33" s="139"/>
      <c r="F33" s="157"/>
      <c r="G33" s="157"/>
      <c r="H33" s="157"/>
      <c r="I33" s="158"/>
      <c r="J33" s="97"/>
    </row>
    <row r="34" spans="1:10" s="131" customFormat="1">
      <c r="A34" s="124" t="s">
        <v>122</v>
      </c>
      <c r="B34" s="139" t="s">
        <v>1</v>
      </c>
      <c r="C34" s="139">
        <v>86425</v>
      </c>
      <c r="D34" s="139">
        <v>390742</v>
      </c>
      <c r="E34" s="139">
        <v>981392</v>
      </c>
      <c r="F34" s="157">
        <v>2328382</v>
      </c>
      <c r="G34" s="157">
        <v>3594457</v>
      </c>
      <c r="H34" s="157">
        <v>4191345</v>
      </c>
      <c r="I34" s="158">
        <v>6259916</v>
      </c>
      <c r="J34" s="97">
        <f t="shared" si="0"/>
        <v>2547522.7142857141</v>
      </c>
    </row>
    <row r="35" spans="1:10" s="94" customFormat="1">
      <c r="A35" s="132" t="s">
        <v>123</v>
      </c>
      <c r="B35" s="159" t="s">
        <v>1</v>
      </c>
      <c r="C35" s="139">
        <v>17976</v>
      </c>
      <c r="D35" s="139">
        <v>180885</v>
      </c>
      <c r="E35" s="139">
        <v>538306</v>
      </c>
      <c r="F35" s="157">
        <v>1462961</v>
      </c>
      <c r="G35" s="157">
        <v>2225532</v>
      </c>
      <c r="H35" s="157">
        <v>2122807</v>
      </c>
      <c r="I35" s="158">
        <v>4745377</v>
      </c>
      <c r="J35" s="97">
        <f t="shared" si="0"/>
        <v>1613406.2857142857</v>
      </c>
    </row>
    <row r="36" spans="1:10" s="165" customFormat="1">
      <c r="A36" s="126" t="s">
        <v>138</v>
      </c>
      <c r="B36" s="159" t="s">
        <v>1</v>
      </c>
      <c r="C36" s="159">
        <f t="shared" ref="C36:I36" si="7">C34-C35</f>
        <v>68449</v>
      </c>
      <c r="D36" s="159">
        <f t="shared" si="7"/>
        <v>209857</v>
      </c>
      <c r="E36" s="159">
        <f t="shared" si="7"/>
        <v>443086</v>
      </c>
      <c r="F36" s="160">
        <f t="shared" si="7"/>
        <v>865421</v>
      </c>
      <c r="G36" s="160">
        <f t="shared" si="7"/>
        <v>1368925</v>
      </c>
      <c r="H36" s="160">
        <f t="shared" si="7"/>
        <v>2068538</v>
      </c>
      <c r="I36" s="160">
        <f t="shared" si="7"/>
        <v>1514539</v>
      </c>
      <c r="J36" s="144">
        <f t="shared" si="0"/>
        <v>934116.42857142852</v>
      </c>
    </row>
    <row r="37" spans="1:10" s="133" customFormat="1">
      <c r="A37" s="132" t="s">
        <v>114</v>
      </c>
      <c r="B37" s="139" t="s">
        <v>1</v>
      </c>
      <c r="C37" s="139">
        <v>74</v>
      </c>
      <c r="D37" s="139">
        <v>14205</v>
      </c>
      <c r="E37" s="139">
        <v>30343</v>
      </c>
      <c r="F37" s="157">
        <v>77679</v>
      </c>
      <c r="G37" s="157">
        <v>94452</v>
      </c>
      <c r="H37" s="157">
        <v>92541</v>
      </c>
      <c r="I37" s="158">
        <v>147334</v>
      </c>
      <c r="J37" s="97">
        <f t="shared" si="0"/>
        <v>65232.571428571428</v>
      </c>
    </row>
    <row r="38" spans="1:10" s="133" customFormat="1">
      <c r="A38" s="124" t="s">
        <v>139</v>
      </c>
      <c r="B38" s="139" t="s">
        <v>1</v>
      </c>
      <c r="C38" s="139" t="s">
        <v>1</v>
      </c>
      <c r="D38" s="139" t="s">
        <v>1</v>
      </c>
      <c r="E38" s="139" t="s">
        <v>1</v>
      </c>
      <c r="F38" s="157">
        <v>923</v>
      </c>
      <c r="G38" s="157">
        <v>17762</v>
      </c>
      <c r="H38" s="157">
        <v>104</v>
      </c>
      <c r="I38" s="158" t="s">
        <v>1</v>
      </c>
      <c r="J38" s="97">
        <f t="shared" si="0"/>
        <v>6263</v>
      </c>
    </row>
    <row r="39" spans="1:10" s="94" customFormat="1">
      <c r="A39" s="132" t="s">
        <v>115</v>
      </c>
      <c r="B39" s="139" t="s">
        <v>1</v>
      </c>
      <c r="C39" s="139">
        <v>2998</v>
      </c>
      <c r="D39" s="139">
        <v>7030</v>
      </c>
      <c r="E39" s="139">
        <v>11556</v>
      </c>
      <c r="F39" s="157">
        <v>53498</v>
      </c>
      <c r="G39" s="157">
        <v>69478</v>
      </c>
      <c r="H39" s="157">
        <v>83310</v>
      </c>
      <c r="I39" s="158">
        <v>214813</v>
      </c>
      <c r="J39" s="97">
        <f t="shared" si="0"/>
        <v>63240.428571428572</v>
      </c>
    </row>
    <row r="40" spans="1:10" s="94" customFormat="1">
      <c r="A40" s="132" t="s">
        <v>116</v>
      </c>
      <c r="B40" s="139" t="s">
        <v>1</v>
      </c>
      <c r="C40" s="139">
        <v>37</v>
      </c>
      <c r="D40" s="139">
        <v>1739</v>
      </c>
      <c r="E40" s="139">
        <v>2663</v>
      </c>
      <c r="F40" s="157">
        <v>119821</v>
      </c>
      <c r="G40" s="157">
        <v>159008</v>
      </c>
      <c r="H40" s="157">
        <v>268144</v>
      </c>
      <c r="I40" s="158">
        <v>551638</v>
      </c>
      <c r="J40" s="97">
        <f t="shared" si="0"/>
        <v>157578.57142857142</v>
      </c>
    </row>
    <row r="41" spans="1:10" s="94" customFormat="1">
      <c r="A41" s="132" t="s">
        <v>121</v>
      </c>
      <c r="B41" s="139" t="s">
        <v>1</v>
      </c>
      <c r="C41" s="139">
        <v>68089</v>
      </c>
      <c r="D41" s="139">
        <v>140579</v>
      </c>
      <c r="E41" s="139">
        <v>197531</v>
      </c>
      <c r="F41" s="157">
        <v>167383</v>
      </c>
      <c r="G41" s="157">
        <v>241143</v>
      </c>
      <c r="H41" s="157">
        <v>316932</v>
      </c>
      <c r="I41" s="158">
        <v>392167</v>
      </c>
      <c r="J41" s="97">
        <f t="shared" si="0"/>
        <v>217689.14285714287</v>
      </c>
    </row>
    <row r="42" spans="1:10" s="94" customFormat="1">
      <c r="A42" s="132" t="s">
        <v>148</v>
      </c>
      <c r="B42" s="139" t="s">
        <v>1</v>
      </c>
      <c r="C42" s="139">
        <v>40482</v>
      </c>
      <c r="D42" s="139">
        <v>11708</v>
      </c>
      <c r="E42" s="139">
        <v>199974</v>
      </c>
      <c r="F42" s="157">
        <v>414549</v>
      </c>
      <c r="G42" s="157">
        <v>705300</v>
      </c>
      <c r="H42" s="157">
        <v>792482</v>
      </c>
      <c r="I42" s="158">
        <v>730171</v>
      </c>
      <c r="J42" s="97">
        <f t="shared" si="0"/>
        <v>413523.71428571426</v>
      </c>
    </row>
    <row r="43" spans="1:10" s="94" customFormat="1" ht="14.4" customHeight="1" thickBot="1">
      <c r="A43" s="134" t="s">
        <v>132</v>
      </c>
      <c r="B43" s="139" t="s">
        <v>1</v>
      </c>
      <c r="C43" s="161">
        <v>30673</v>
      </c>
      <c r="D43" s="161">
        <v>11982</v>
      </c>
      <c r="E43" s="161">
        <v>158902</v>
      </c>
      <c r="F43" s="162">
        <v>325233</v>
      </c>
      <c r="G43" s="162">
        <v>516735</v>
      </c>
      <c r="H43" s="162">
        <v>638562</v>
      </c>
      <c r="I43" s="163">
        <v>558689</v>
      </c>
      <c r="J43" s="97">
        <f t="shared" si="0"/>
        <v>320110.85714285716</v>
      </c>
    </row>
  </sheetData>
  <mergeCells count="10">
    <mergeCell ref="D1:D2"/>
    <mergeCell ref="E1:E2"/>
    <mergeCell ref="C1:C2"/>
    <mergeCell ref="A1:A2"/>
    <mergeCell ref="B1:B2"/>
    <mergeCell ref="I1:I2"/>
    <mergeCell ref="G1:G2"/>
    <mergeCell ref="H1:H2"/>
    <mergeCell ref="J1:J2"/>
    <mergeCell ref="F1:F2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EBE59-2C6C-473C-B4EC-A176D84DB85C}">
  <dimension ref="A1:AH26"/>
  <sheetViews>
    <sheetView zoomScale="70" zoomScaleNormal="70" workbookViewId="0">
      <pane xSplit="1" topLeftCell="B1" activePane="topRight" state="frozen"/>
      <selection activeCell="A4" sqref="A4"/>
      <selection pane="topRight" activeCell="C3" sqref="C3"/>
    </sheetView>
  </sheetViews>
  <sheetFormatPr defaultRowHeight="13.8"/>
  <cols>
    <col min="1" max="1" width="55.21875" style="2" customWidth="1"/>
    <col min="2" max="4" width="8.21875" style="2" bestFit="1" customWidth="1"/>
    <col min="5" max="5" width="10.5546875" style="2" bestFit="1" customWidth="1"/>
    <col min="6" max="6" width="8.21875" style="2" bestFit="1" customWidth="1"/>
    <col min="7" max="32" width="12.44140625" style="2" bestFit="1" customWidth="1"/>
    <col min="33" max="33" width="14.109375" style="2" bestFit="1" customWidth="1"/>
    <col min="34" max="16384" width="8.88671875" style="2"/>
  </cols>
  <sheetData>
    <row r="1" spans="1:34" ht="22.8" customHeight="1">
      <c r="A1" s="380" t="s">
        <v>5</v>
      </c>
      <c r="B1" s="375" t="s">
        <v>7</v>
      </c>
      <c r="C1" s="375" t="s">
        <v>8</v>
      </c>
      <c r="D1" s="375" t="s">
        <v>9</v>
      </c>
      <c r="E1" s="375" t="s">
        <v>10</v>
      </c>
      <c r="F1" s="375" t="s">
        <v>11</v>
      </c>
      <c r="G1" s="375" t="s">
        <v>12</v>
      </c>
      <c r="H1" s="375" t="s">
        <v>13</v>
      </c>
      <c r="I1" s="375" t="s">
        <v>14</v>
      </c>
      <c r="J1" s="375" t="s">
        <v>15</v>
      </c>
      <c r="K1" s="375" t="s">
        <v>16</v>
      </c>
      <c r="L1" s="375" t="s">
        <v>17</v>
      </c>
      <c r="M1" s="375" t="s">
        <v>18</v>
      </c>
      <c r="N1" s="375" t="s">
        <v>19</v>
      </c>
      <c r="O1" s="375" t="s">
        <v>20</v>
      </c>
      <c r="P1" s="375" t="s">
        <v>21</v>
      </c>
      <c r="Q1" s="375" t="s">
        <v>22</v>
      </c>
      <c r="R1" s="375" t="s">
        <v>23</v>
      </c>
      <c r="S1" s="375" t="s">
        <v>24</v>
      </c>
      <c r="T1" s="375" t="s">
        <v>25</v>
      </c>
      <c r="U1" s="375" t="s">
        <v>26</v>
      </c>
      <c r="V1" s="375" t="s">
        <v>27</v>
      </c>
      <c r="W1" s="375" t="s">
        <v>28</v>
      </c>
      <c r="X1" s="375" t="s">
        <v>29</v>
      </c>
      <c r="Y1" s="375" t="s">
        <v>30</v>
      </c>
      <c r="Z1" s="375" t="s">
        <v>31</v>
      </c>
      <c r="AA1" s="375" t="s">
        <v>32</v>
      </c>
      <c r="AB1" s="375" t="s">
        <v>33</v>
      </c>
      <c r="AC1" s="375" t="s">
        <v>34</v>
      </c>
      <c r="AD1" s="375" t="s">
        <v>35</v>
      </c>
      <c r="AE1" s="375" t="s">
        <v>36</v>
      </c>
      <c r="AF1" s="375" t="s">
        <v>37</v>
      </c>
      <c r="AG1" s="375" t="s">
        <v>38</v>
      </c>
    </row>
    <row r="2" spans="1:34">
      <c r="A2" s="379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376"/>
      <c r="AG2" s="376"/>
    </row>
    <row r="3" spans="1:34" ht="20.399999999999999">
      <c r="A3" s="81" t="s">
        <v>135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4" ht="14.4">
      <c r="A4" s="56" t="s">
        <v>43</v>
      </c>
      <c r="B4" s="42" t="s">
        <v>1</v>
      </c>
      <c r="C4" s="42" t="s">
        <v>1</v>
      </c>
      <c r="D4" s="42" t="s">
        <v>1</v>
      </c>
      <c r="E4" s="43" t="s">
        <v>1</v>
      </c>
      <c r="F4" s="42" t="s">
        <v>1</v>
      </c>
      <c r="G4" s="42">
        <v>676366</v>
      </c>
      <c r="H4" s="42">
        <v>677340</v>
      </c>
      <c r="I4" s="43">
        <v>664530</v>
      </c>
      <c r="J4" s="42">
        <v>661718</v>
      </c>
      <c r="K4" s="42">
        <v>740087</v>
      </c>
      <c r="L4" s="42">
        <v>751852</v>
      </c>
      <c r="M4" s="43">
        <v>764621</v>
      </c>
      <c r="N4" s="42">
        <v>786091</v>
      </c>
      <c r="O4" s="42">
        <v>815273</v>
      </c>
      <c r="P4" s="42">
        <v>1352853</v>
      </c>
      <c r="Q4" s="43">
        <v>1403681</v>
      </c>
      <c r="R4" s="44">
        <v>1499028</v>
      </c>
      <c r="S4" s="44">
        <v>1553959</v>
      </c>
      <c r="T4" s="44">
        <v>1640386</v>
      </c>
      <c r="U4" s="45">
        <v>2218584</v>
      </c>
      <c r="V4" s="44">
        <v>2667407</v>
      </c>
      <c r="W4" s="44">
        <v>2770153</v>
      </c>
      <c r="X4" s="44">
        <v>2991243</v>
      </c>
      <c r="Y4" s="45">
        <v>3166828</v>
      </c>
      <c r="Z4" s="44">
        <v>3249289</v>
      </c>
      <c r="AA4" s="44">
        <v>3314462</v>
      </c>
      <c r="AB4" s="44">
        <v>3626159</v>
      </c>
      <c r="AC4" s="45">
        <v>3734273</v>
      </c>
      <c r="AD4" s="44">
        <v>3847242</v>
      </c>
      <c r="AE4" s="44">
        <v>3894262</v>
      </c>
      <c r="AF4" s="44">
        <v>3988912</v>
      </c>
      <c r="AG4" s="45">
        <v>4321735</v>
      </c>
      <c r="AH4" s="7"/>
    </row>
    <row r="5" spans="1:34">
      <c r="A5" s="59" t="s">
        <v>42</v>
      </c>
      <c r="B5" s="38"/>
      <c r="C5" s="38"/>
      <c r="D5" s="38"/>
      <c r="E5" s="39" t="s">
        <v>1</v>
      </c>
      <c r="F5" s="38"/>
      <c r="G5" s="38"/>
      <c r="H5" s="38"/>
      <c r="I5" s="39"/>
      <c r="J5" s="38"/>
      <c r="K5" s="38"/>
      <c r="L5" s="38"/>
      <c r="M5" s="39"/>
      <c r="N5" s="38"/>
      <c r="O5" s="38"/>
      <c r="P5" s="38"/>
      <c r="Q5" s="39"/>
      <c r="R5" s="40"/>
      <c r="S5" s="40"/>
      <c r="T5" s="40"/>
      <c r="U5" s="41"/>
      <c r="V5" s="40"/>
      <c r="W5" s="40"/>
      <c r="X5" s="40"/>
      <c r="Y5" s="41"/>
      <c r="Z5" s="40"/>
      <c r="AA5" s="40"/>
      <c r="AB5" s="40"/>
      <c r="AC5" s="41"/>
      <c r="AD5" s="40"/>
      <c r="AE5" s="40"/>
      <c r="AF5" s="40"/>
      <c r="AG5" s="41"/>
      <c r="AH5" s="7"/>
    </row>
    <row r="6" spans="1:34">
      <c r="A6" s="60" t="s">
        <v>108</v>
      </c>
      <c r="B6" s="38" t="s">
        <v>1</v>
      </c>
      <c r="C6" s="38" t="s">
        <v>1</v>
      </c>
      <c r="D6" s="38" t="s">
        <v>1</v>
      </c>
      <c r="E6" s="39" t="s">
        <v>1</v>
      </c>
      <c r="F6" s="38" t="s">
        <v>1</v>
      </c>
      <c r="G6" s="38">
        <v>79899</v>
      </c>
      <c r="H6" s="38">
        <v>701165</v>
      </c>
      <c r="I6" s="39">
        <v>1256305</v>
      </c>
      <c r="J6" s="38">
        <v>1900260</v>
      </c>
      <c r="K6" s="38">
        <v>2752983</v>
      </c>
      <c r="L6" s="38">
        <v>3875330</v>
      </c>
      <c r="M6" s="39">
        <v>5636002</v>
      </c>
      <c r="N6" s="38">
        <v>6432408</v>
      </c>
      <c r="O6" s="38">
        <v>7389624</v>
      </c>
      <c r="P6" s="38">
        <v>8630466</v>
      </c>
      <c r="Q6" s="39">
        <v>10024595</v>
      </c>
      <c r="R6" s="40">
        <v>10838542</v>
      </c>
      <c r="S6" s="40">
        <v>13433042</v>
      </c>
      <c r="T6" s="40">
        <v>16443249</v>
      </c>
      <c r="U6" s="41">
        <v>15151098</v>
      </c>
      <c r="V6" s="40">
        <v>16046711</v>
      </c>
      <c r="W6" s="40">
        <v>18419048</v>
      </c>
      <c r="X6" s="40">
        <v>20133693</v>
      </c>
      <c r="Y6" s="41">
        <v>25457245</v>
      </c>
      <c r="Z6" s="40">
        <v>28376728</v>
      </c>
      <c r="AA6" s="40">
        <v>32996891</v>
      </c>
      <c r="AB6" s="40">
        <v>42416078</v>
      </c>
      <c r="AC6" s="41">
        <v>46386150</v>
      </c>
      <c r="AD6" s="40">
        <v>48229324</v>
      </c>
      <c r="AE6" s="40">
        <v>51697453</v>
      </c>
      <c r="AF6" s="40">
        <v>57432330</v>
      </c>
      <c r="AG6" s="41">
        <v>77933897</v>
      </c>
      <c r="AH6" s="7"/>
    </row>
    <row r="7" spans="1:34" ht="27.6">
      <c r="A7" s="60" t="s">
        <v>64</v>
      </c>
      <c r="B7" s="38" t="s">
        <v>1</v>
      </c>
      <c r="C7" s="38" t="s">
        <v>1</v>
      </c>
      <c r="D7" s="38" t="s">
        <v>1</v>
      </c>
      <c r="E7" s="39" t="s">
        <v>1</v>
      </c>
      <c r="F7" s="38" t="s">
        <v>1</v>
      </c>
      <c r="G7" s="38">
        <v>144</v>
      </c>
      <c r="H7" s="38" t="s">
        <v>1</v>
      </c>
      <c r="I7" s="39" t="s">
        <v>1</v>
      </c>
      <c r="J7" s="38" t="s">
        <v>1</v>
      </c>
      <c r="K7" s="38" t="s">
        <v>1</v>
      </c>
      <c r="L7" s="38" t="s">
        <v>1</v>
      </c>
      <c r="M7" s="39" t="s">
        <v>1</v>
      </c>
      <c r="N7" s="38">
        <v>825</v>
      </c>
      <c r="O7" s="38">
        <v>2926</v>
      </c>
      <c r="P7" s="38">
        <v>348</v>
      </c>
      <c r="Q7" s="39">
        <v>6280</v>
      </c>
      <c r="R7" s="40">
        <v>2984257</v>
      </c>
      <c r="S7" s="40">
        <v>2087763</v>
      </c>
      <c r="T7" s="40">
        <v>2711086</v>
      </c>
      <c r="U7" s="41">
        <v>3361874</v>
      </c>
      <c r="V7" s="40">
        <v>5346347</v>
      </c>
      <c r="W7" s="40">
        <v>6183617</v>
      </c>
      <c r="X7" s="40">
        <v>6053699</v>
      </c>
      <c r="Y7" s="41">
        <v>5978670</v>
      </c>
      <c r="Z7" s="40">
        <v>6256915</v>
      </c>
      <c r="AA7" s="40">
        <v>5243585</v>
      </c>
      <c r="AB7" s="40">
        <v>5462302</v>
      </c>
      <c r="AC7" s="41">
        <v>5443864</v>
      </c>
      <c r="AD7" s="40">
        <v>4951494</v>
      </c>
      <c r="AE7" s="40">
        <v>4788336</v>
      </c>
      <c r="AF7" s="40">
        <v>5155779</v>
      </c>
      <c r="AG7" s="41">
        <v>6164845</v>
      </c>
      <c r="AH7" s="7"/>
    </row>
    <row r="8" spans="1:34">
      <c r="A8" s="60" t="s">
        <v>65</v>
      </c>
      <c r="B8" s="38" t="s">
        <v>1</v>
      </c>
      <c r="C8" s="38" t="s">
        <v>1</v>
      </c>
      <c r="D8" s="38" t="s">
        <v>1</v>
      </c>
      <c r="E8" s="39" t="s">
        <v>1</v>
      </c>
      <c r="F8" s="38" t="s">
        <v>1</v>
      </c>
      <c r="G8" s="38" t="s">
        <v>1</v>
      </c>
      <c r="H8" s="38" t="s">
        <v>1</v>
      </c>
      <c r="I8" s="39">
        <v>163905</v>
      </c>
      <c r="J8" s="38">
        <v>736389</v>
      </c>
      <c r="K8" s="38">
        <v>1175065</v>
      </c>
      <c r="L8" s="38">
        <v>1149551</v>
      </c>
      <c r="M8" s="39">
        <v>1287221</v>
      </c>
      <c r="N8" s="38">
        <v>1436982</v>
      </c>
      <c r="O8" s="38">
        <v>1881066</v>
      </c>
      <c r="P8" s="38">
        <v>1807140</v>
      </c>
      <c r="Q8" s="39">
        <v>2607114</v>
      </c>
      <c r="R8" s="40">
        <v>22026</v>
      </c>
      <c r="S8" s="40">
        <v>611970</v>
      </c>
      <c r="T8" s="40">
        <v>40997</v>
      </c>
      <c r="U8" s="41">
        <v>864414</v>
      </c>
      <c r="V8" s="40">
        <v>50173</v>
      </c>
      <c r="W8" s="40">
        <v>109746</v>
      </c>
      <c r="X8" s="40">
        <v>24505</v>
      </c>
      <c r="Y8" s="41">
        <v>19135</v>
      </c>
      <c r="Z8" s="40">
        <v>24797</v>
      </c>
      <c r="AA8" s="40">
        <v>2266087</v>
      </c>
      <c r="AB8" s="40">
        <v>264379</v>
      </c>
      <c r="AC8" s="41">
        <v>2101073</v>
      </c>
      <c r="AD8" s="40">
        <v>3403126</v>
      </c>
      <c r="AE8" s="40">
        <v>3314800</v>
      </c>
      <c r="AF8" s="40">
        <v>5616678</v>
      </c>
      <c r="AG8" s="41">
        <v>3784645</v>
      </c>
      <c r="AH8" s="7"/>
    </row>
    <row r="9" spans="1:34">
      <c r="A9" s="60" t="s">
        <v>67</v>
      </c>
      <c r="B9" s="38" t="s">
        <v>1</v>
      </c>
      <c r="C9" s="38" t="s">
        <v>1</v>
      </c>
      <c r="D9" s="38" t="s">
        <v>1</v>
      </c>
      <c r="E9" s="39" t="s">
        <v>1</v>
      </c>
      <c r="F9" s="38" t="s">
        <v>1</v>
      </c>
      <c r="G9" s="38" t="s">
        <v>1</v>
      </c>
      <c r="H9" s="38">
        <v>14495</v>
      </c>
      <c r="I9" s="39">
        <v>48536</v>
      </c>
      <c r="J9" s="38">
        <v>52746</v>
      </c>
      <c r="K9" s="38">
        <v>86650</v>
      </c>
      <c r="L9" s="38">
        <v>174748</v>
      </c>
      <c r="M9" s="39">
        <v>133668</v>
      </c>
      <c r="N9" s="38" t="s">
        <v>1</v>
      </c>
      <c r="O9" s="38">
        <v>61791</v>
      </c>
      <c r="P9" s="38">
        <v>8064</v>
      </c>
      <c r="Q9" s="39">
        <v>32462</v>
      </c>
      <c r="R9" s="40" t="s">
        <v>1</v>
      </c>
      <c r="S9" s="40" t="s">
        <v>1</v>
      </c>
      <c r="T9" s="40" t="s">
        <v>1</v>
      </c>
      <c r="U9" s="41" t="s">
        <v>1</v>
      </c>
      <c r="V9" s="40" t="s">
        <v>1</v>
      </c>
      <c r="W9" s="40" t="s">
        <v>1</v>
      </c>
      <c r="X9" s="40" t="s">
        <v>1</v>
      </c>
      <c r="Y9" s="41" t="s">
        <v>1</v>
      </c>
      <c r="Z9" s="40" t="s">
        <v>1</v>
      </c>
      <c r="AA9" s="40" t="s">
        <v>1</v>
      </c>
      <c r="AB9" s="40" t="s">
        <v>1</v>
      </c>
      <c r="AC9" s="41" t="s">
        <v>1</v>
      </c>
      <c r="AD9" s="40" t="s">
        <v>1</v>
      </c>
      <c r="AE9" s="40" t="s">
        <v>1</v>
      </c>
      <c r="AF9" s="40" t="s">
        <v>1</v>
      </c>
      <c r="AG9" s="41" t="s">
        <v>1</v>
      </c>
      <c r="AH9" s="7"/>
    </row>
    <row r="10" spans="1:34" ht="27.6">
      <c r="A10" s="60" t="s">
        <v>68</v>
      </c>
      <c r="B10" s="38" t="s">
        <v>1</v>
      </c>
      <c r="C10" s="38" t="s">
        <v>1</v>
      </c>
      <c r="D10" s="38" t="s">
        <v>1</v>
      </c>
      <c r="E10" s="39" t="s">
        <v>1</v>
      </c>
      <c r="F10" s="38" t="s">
        <v>1</v>
      </c>
      <c r="G10" s="38" t="s">
        <v>1</v>
      </c>
      <c r="H10" s="38" t="s">
        <v>1</v>
      </c>
      <c r="I10" s="39" t="s">
        <v>1</v>
      </c>
      <c r="J10" s="38" t="s">
        <v>1</v>
      </c>
      <c r="K10" s="38" t="s">
        <v>1</v>
      </c>
      <c r="L10" s="38" t="s">
        <v>1</v>
      </c>
      <c r="M10" s="39" t="s">
        <v>1</v>
      </c>
      <c r="N10" s="38" t="s">
        <v>1</v>
      </c>
      <c r="O10" s="38" t="s">
        <v>1</v>
      </c>
      <c r="P10" s="38" t="s">
        <v>1</v>
      </c>
      <c r="Q10" s="39" t="s">
        <v>1</v>
      </c>
      <c r="R10" s="40" t="s">
        <v>1</v>
      </c>
      <c r="S10" s="40" t="s">
        <v>1</v>
      </c>
      <c r="T10" s="40" t="s">
        <v>1</v>
      </c>
      <c r="U10" s="41" t="s">
        <v>1</v>
      </c>
      <c r="V10" s="40" t="s">
        <v>1</v>
      </c>
      <c r="W10" s="40" t="s">
        <v>1</v>
      </c>
      <c r="X10" s="40" t="s">
        <v>1</v>
      </c>
      <c r="Y10" s="41" t="s">
        <v>1</v>
      </c>
      <c r="Z10" s="40" t="s">
        <v>1</v>
      </c>
      <c r="AA10" s="40" t="s">
        <v>1</v>
      </c>
      <c r="AB10" s="40" t="s">
        <v>1</v>
      </c>
      <c r="AC10" s="41" t="s">
        <v>1</v>
      </c>
      <c r="AD10" s="40" t="s">
        <v>1</v>
      </c>
      <c r="AE10" s="40" t="s">
        <v>1</v>
      </c>
      <c r="AF10" s="40" t="s">
        <v>1</v>
      </c>
      <c r="AG10" s="41" t="s">
        <v>1</v>
      </c>
      <c r="AH10" s="7"/>
    </row>
    <row r="11" spans="1:34">
      <c r="A11" s="61" t="s">
        <v>69</v>
      </c>
      <c r="B11" s="38" t="s">
        <v>1</v>
      </c>
      <c r="C11" s="38" t="s">
        <v>1</v>
      </c>
      <c r="D11" s="38" t="s">
        <v>1</v>
      </c>
      <c r="E11" s="39" t="s">
        <v>1</v>
      </c>
      <c r="F11" s="38" t="s">
        <v>1</v>
      </c>
      <c r="G11" s="38">
        <v>15746</v>
      </c>
      <c r="H11" s="38">
        <v>18425</v>
      </c>
      <c r="I11" s="39">
        <v>19759</v>
      </c>
      <c r="J11" s="38">
        <v>18448</v>
      </c>
      <c r="K11" s="38">
        <v>10939</v>
      </c>
      <c r="L11" s="38">
        <v>8205</v>
      </c>
      <c r="M11" s="39">
        <v>17027</v>
      </c>
      <c r="N11" s="38">
        <v>230115</v>
      </c>
      <c r="O11" s="38">
        <v>557879</v>
      </c>
      <c r="P11" s="38">
        <v>44508</v>
      </c>
      <c r="Q11" s="39">
        <v>35716</v>
      </c>
      <c r="R11" s="40" t="s">
        <v>1</v>
      </c>
      <c r="S11" s="40">
        <v>4568</v>
      </c>
      <c r="T11" s="40">
        <v>16534</v>
      </c>
      <c r="U11" s="41">
        <v>6145</v>
      </c>
      <c r="V11" s="40">
        <v>1863</v>
      </c>
      <c r="W11" s="40">
        <v>11239</v>
      </c>
      <c r="X11" s="40" t="s">
        <v>1</v>
      </c>
      <c r="Y11" s="41">
        <v>12479</v>
      </c>
      <c r="Z11" s="40">
        <v>494</v>
      </c>
      <c r="AA11" s="40">
        <v>13294</v>
      </c>
      <c r="AB11" s="40">
        <v>956</v>
      </c>
      <c r="AC11" s="41">
        <v>19440</v>
      </c>
      <c r="AD11" s="40">
        <v>1905</v>
      </c>
      <c r="AE11" s="40">
        <v>2021</v>
      </c>
      <c r="AF11" s="40">
        <v>5215</v>
      </c>
      <c r="AG11" s="41">
        <v>71692</v>
      </c>
      <c r="AH11" s="7"/>
    </row>
    <row r="12" spans="1:34">
      <c r="A12" s="60" t="s">
        <v>70</v>
      </c>
      <c r="B12" s="38" t="s">
        <v>1</v>
      </c>
      <c r="C12" s="38" t="s">
        <v>1</v>
      </c>
      <c r="D12" s="38" t="s">
        <v>1</v>
      </c>
      <c r="E12" s="39" t="s">
        <v>1</v>
      </c>
      <c r="F12" s="38" t="s">
        <v>1</v>
      </c>
      <c r="G12" s="38">
        <v>2562</v>
      </c>
      <c r="H12" s="38">
        <v>3202</v>
      </c>
      <c r="I12" s="39">
        <v>6239</v>
      </c>
      <c r="J12" s="38">
        <v>14759</v>
      </c>
      <c r="K12" s="38">
        <v>42008</v>
      </c>
      <c r="L12" s="38">
        <v>63334</v>
      </c>
      <c r="M12" s="39">
        <v>46526</v>
      </c>
      <c r="N12" s="38">
        <v>75867</v>
      </c>
      <c r="O12" s="38">
        <v>130326</v>
      </c>
      <c r="P12" s="38">
        <v>63405</v>
      </c>
      <c r="Q12" s="39">
        <v>70570</v>
      </c>
      <c r="R12" s="40" t="s">
        <v>1</v>
      </c>
      <c r="S12" s="40">
        <v>324</v>
      </c>
      <c r="T12" s="40">
        <v>282</v>
      </c>
      <c r="U12" s="41">
        <v>415</v>
      </c>
      <c r="V12" s="40">
        <v>89867</v>
      </c>
      <c r="W12" s="40">
        <v>95776</v>
      </c>
      <c r="X12" s="40">
        <v>107488</v>
      </c>
      <c r="Y12" s="41">
        <v>110059</v>
      </c>
      <c r="Z12" s="40">
        <v>116806</v>
      </c>
      <c r="AA12" s="40">
        <v>118900</v>
      </c>
      <c r="AB12" s="40">
        <v>130616</v>
      </c>
      <c r="AC12" s="41">
        <v>127634</v>
      </c>
      <c r="AD12" s="40">
        <v>134146</v>
      </c>
      <c r="AE12" s="40">
        <v>160914</v>
      </c>
      <c r="AF12" s="40">
        <v>172702</v>
      </c>
      <c r="AG12" s="41">
        <v>194463</v>
      </c>
      <c r="AH12" s="7"/>
    </row>
    <row r="13" spans="1:34">
      <c r="A13" s="60" t="s">
        <v>71</v>
      </c>
      <c r="B13" s="38" t="s">
        <v>1</v>
      </c>
      <c r="C13" s="38" t="s">
        <v>1</v>
      </c>
      <c r="D13" s="38" t="s">
        <v>1</v>
      </c>
      <c r="E13" s="39" t="s">
        <v>1</v>
      </c>
      <c r="F13" s="38" t="s">
        <v>1</v>
      </c>
      <c r="G13" s="38" t="s">
        <v>1</v>
      </c>
      <c r="H13" s="38" t="s">
        <v>1</v>
      </c>
      <c r="I13" s="39" t="s">
        <v>1</v>
      </c>
      <c r="J13" s="38" t="s">
        <v>1</v>
      </c>
      <c r="K13" s="38" t="s">
        <v>1</v>
      </c>
      <c r="L13" s="38" t="s">
        <v>1</v>
      </c>
      <c r="M13" s="39" t="s">
        <v>1</v>
      </c>
      <c r="N13" s="38" t="s">
        <v>1</v>
      </c>
      <c r="O13" s="38" t="s">
        <v>1</v>
      </c>
      <c r="P13" s="38" t="s">
        <v>1</v>
      </c>
      <c r="Q13" s="39" t="s">
        <v>1</v>
      </c>
      <c r="R13" s="40">
        <v>93012</v>
      </c>
      <c r="S13" s="40">
        <v>107915</v>
      </c>
      <c r="T13" s="40">
        <v>119787</v>
      </c>
      <c r="U13" s="41">
        <v>131964</v>
      </c>
      <c r="V13" s="40">
        <v>139016</v>
      </c>
      <c r="W13" s="40">
        <v>127442</v>
      </c>
      <c r="X13" s="40">
        <v>145045</v>
      </c>
      <c r="Y13" s="41">
        <v>235279</v>
      </c>
      <c r="Z13" s="40">
        <v>318784</v>
      </c>
      <c r="AA13" s="40">
        <v>321190</v>
      </c>
      <c r="AB13" s="40">
        <v>407683</v>
      </c>
      <c r="AC13" s="41">
        <v>409244</v>
      </c>
      <c r="AD13" s="40">
        <v>470949</v>
      </c>
      <c r="AE13" s="40">
        <v>477261</v>
      </c>
      <c r="AF13" s="40">
        <v>501685</v>
      </c>
      <c r="AG13" s="41">
        <v>647270</v>
      </c>
      <c r="AH13" s="7"/>
    </row>
    <row r="14" spans="1:34" ht="27.6">
      <c r="A14" s="60" t="s">
        <v>72</v>
      </c>
      <c r="B14" s="38" t="s">
        <v>1</v>
      </c>
      <c r="C14" s="38" t="s">
        <v>1</v>
      </c>
      <c r="D14" s="38" t="s">
        <v>1</v>
      </c>
      <c r="E14" s="39" t="s">
        <v>1</v>
      </c>
      <c r="F14" s="38" t="s">
        <v>1</v>
      </c>
      <c r="G14" s="38" t="s">
        <v>1</v>
      </c>
      <c r="H14" s="38" t="s">
        <v>1</v>
      </c>
      <c r="I14" s="39" t="s">
        <v>1</v>
      </c>
      <c r="J14" s="38" t="s">
        <v>1</v>
      </c>
      <c r="K14" s="38" t="s">
        <v>1</v>
      </c>
      <c r="L14" s="38" t="s">
        <v>1</v>
      </c>
      <c r="M14" s="39" t="s">
        <v>1</v>
      </c>
      <c r="N14" s="38" t="s">
        <v>1</v>
      </c>
      <c r="O14" s="38" t="s">
        <v>1</v>
      </c>
      <c r="P14" s="38" t="s">
        <v>1</v>
      </c>
      <c r="Q14" s="39" t="s">
        <v>1</v>
      </c>
      <c r="R14" s="40">
        <v>31266</v>
      </c>
      <c r="S14" s="40">
        <v>40578</v>
      </c>
      <c r="T14" s="40">
        <v>62149</v>
      </c>
      <c r="U14" s="41">
        <v>53974</v>
      </c>
      <c r="V14" s="40">
        <v>60938</v>
      </c>
      <c r="W14" s="40">
        <v>68912</v>
      </c>
      <c r="X14" s="40">
        <v>98200</v>
      </c>
      <c r="Y14" s="41">
        <v>122393</v>
      </c>
      <c r="Z14" s="40">
        <v>70472</v>
      </c>
      <c r="AA14" s="40">
        <v>94385</v>
      </c>
      <c r="AB14" s="40">
        <v>91731</v>
      </c>
      <c r="AC14" s="41">
        <v>96632</v>
      </c>
      <c r="AD14" s="40">
        <v>46487</v>
      </c>
      <c r="AE14" s="40">
        <v>79255</v>
      </c>
      <c r="AF14" s="40">
        <v>66908</v>
      </c>
      <c r="AG14" s="41">
        <v>350441</v>
      </c>
      <c r="AH14" s="7"/>
    </row>
    <row r="15" spans="1:34">
      <c r="A15" s="60" t="s">
        <v>73</v>
      </c>
      <c r="B15" s="38" t="s">
        <v>1</v>
      </c>
      <c r="C15" s="38" t="s">
        <v>1</v>
      </c>
      <c r="D15" s="38" t="s">
        <v>1</v>
      </c>
      <c r="E15" s="39" t="s">
        <v>1</v>
      </c>
      <c r="F15" s="38" t="s">
        <v>1</v>
      </c>
      <c r="G15" s="38">
        <v>2331</v>
      </c>
      <c r="H15" s="38">
        <v>5994</v>
      </c>
      <c r="I15" s="39">
        <v>14999</v>
      </c>
      <c r="J15" s="38">
        <v>28541</v>
      </c>
      <c r="K15" s="38">
        <v>38947</v>
      </c>
      <c r="L15" s="38">
        <v>50694</v>
      </c>
      <c r="M15" s="39">
        <v>64574</v>
      </c>
      <c r="N15" s="38">
        <v>87812</v>
      </c>
      <c r="O15" s="38">
        <v>100595</v>
      </c>
      <c r="P15" s="38">
        <v>117986</v>
      </c>
      <c r="Q15" s="39">
        <v>142290</v>
      </c>
      <c r="R15" s="48" t="s">
        <v>1</v>
      </c>
      <c r="S15" s="48" t="s">
        <v>1</v>
      </c>
      <c r="T15" s="48" t="s">
        <v>1</v>
      </c>
      <c r="U15" s="49" t="s">
        <v>1</v>
      </c>
      <c r="V15" s="48" t="s">
        <v>1</v>
      </c>
      <c r="W15" s="48" t="s">
        <v>1</v>
      </c>
      <c r="X15" s="48" t="s">
        <v>1</v>
      </c>
      <c r="Y15" s="49" t="s">
        <v>1</v>
      </c>
      <c r="Z15" s="48" t="s">
        <v>1</v>
      </c>
      <c r="AA15" s="48" t="s">
        <v>1</v>
      </c>
      <c r="AB15" s="48" t="s">
        <v>1</v>
      </c>
      <c r="AC15" s="49" t="s">
        <v>1</v>
      </c>
      <c r="AD15" s="48" t="s">
        <v>1</v>
      </c>
      <c r="AE15" s="48" t="s">
        <v>1</v>
      </c>
      <c r="AF15" s="48" t="s">
        <v>1</v>
      </c>
      <c r="AG15" s="49" t="s">
        <v>1</v>
      </c>
      <c r="AH15" s="7"/>
    </row>
    <row r="16" spans="1:34" ht="27.6">
      <c r="A16" s="60" t="s">
        <v>74</v>
      </c>
      <c r="B16" s="46" t="s">
        <v>1</v>
      </c>
      <c r="C16" s="46" t="s">
        <v>1</v>
      </c>
      <c r="D16" s="46" t="s">
        <v>1</v>
      </c>
      <c r="E16" s="47" t="s">
        <v>1</v>
      </c>
      <c r="F16" s="46" t="s">
        <v>1</v>
      </c>
      <c r="G16" s="46">
        <v>1190</v>
      </c>
      <c r="H16" s="46">
        <v>2716</v>
      </c>
      <c r="I16" s="47">
        <v>3162</v>
      </c>
      <c r="J16" s="46">
        <v>2306</v>
      </c>
      <c r="K16" s="46">
        <v>4168</v>
      </c>
      <c r="L16" s="46">
        <v>7629</v>
      </c>
      <c r="M16" s="47">
        <v>9868</v>
      </c>
      <c r="N16" s="46">
        <v>15160</v>
      </c>
      <c r="O16" s="46">
        <v>16008</v>
      </c>
      <c r="P16" s="46">
        <v>18786</v>
      </c>
      <c r="Q16" s="47">
        <v>27435</v>
      </c>
      <c r="R16" s="40" t="s">
        <v>1</v>
      </c>
      <c r="S16" s="40" t="s">
        <v>1</v>
      </c>
      <c r="T16" s="40" t="s">
        <v>1</v>
      </c>
      <c r="U16" s="41" t="s">
        <v>1</v>
      </c>
      <c r="V16" s="40" t="s">
        <v>1</v>
      </c>
      <c r="W16" s="40" t="s">
        <v>1</v>
      </c>
      <c r="X16" s="40" t="s">
        <v>1</v>
      </c>
      <c r="Y16" s="41" t="s">
        <v>1</v>
      </c>
      <c r="Z16" s="40" t="s">
        <v>1</v>
      </c>
      <c r="AA16" s="40" t="s">
        <v>1</v>
      </c>
      <c r="AB16" s="40" t="s">
        <v>1</v>
      </c>
      <c r="AC16" s="41" t="s">
        <v>1</v>
      </c>
      <c r="AD16" s="40" t="s">
        <v>1</v>
      </c>
      <c r="AE16" s="40" t="s">
        <v>1</v>
      </c>
      <c r="AF16" s="40" t="s">
        <v>1</v>
      </c>
      <c r="AG16" s="41" t="s">
        <v>1</v>
      </c>
      <c r="AH16" s="7"/>
    </row>
    <row r="17" spans="1:34" ht="27.6">
      <c r="A17" s="60" t="s">
        <v>75</v>
      </c>
      <c r="B17" s="38" t="s">
        <v>1</v>
      </c>
      <c r="C17" s="38" t="s">
        <v>1</v>
      </c>
      <c r="D17" s="38" t="s">
        <v>1</v>
      </c>
      <c r="E17" s="39" t="s">
        <v>1</v>
      </c>
      <c r="F17" s="38" t="s">
        <v>1</v>
      </c>
      <c r="G17" s="38" t="s">
        <v>1</v>
      </c>
      <c r="H17" s="38" t="s">
        <v>1</v>
      </c>
      <c r="I17" s="39" t="s">
        <v>1</v>
      </c>
      <c r="J17" s="38" t="s">
        <v>1</v>
      </c>
      <c r="K17" s="38" t="s">
        <v>1</v>
      </c>
      <c r="L17" s="38" t="s">
        <v>1</v>
      </c>
      <c r="M17" s="39" t="s">
        <v>1</v>
      </c>
      <c r="N17" s="38" t="s">
        <v>1</v>
      </c>
      <c r="O17" s="38" t="s">
        <v>1</v>
      </c>
      <c r="P17" s="38" t="s">
        <v>1</v>
      </c>
      <c r="Q17" s="39" t="s">
        <v>1</v>
      </c>
      <c r="R17" s="40" t="s">
        <v>1</v>
      </c>
      <c r="S17" s="40" t="s">
        <v>1</v>
      </c>
      <c r="T17" s="40" t="s">
        <v>1</v>
      </c>
      <c r="U17" s="41" t="s">
        <v>1</v>
      </c>
      <c r="V17" s="40">
        <v>300390</v>
      </c>
      <c r="W17" s="40">
        <v>829804</v>
      </c>
      <c r="X17" s="40">
        <v>789437</v>
      </c>
      <c r="Y17" s="41">
        <v>849689</v>
      </c>
      <c r="Z17" s="40">
        <v>889990</v>
      </c>
      <c r="AA17" s="40">
        <v>947618</v>
      </c>
      <c r="AB17" s="40">
        <v>1054690</v>
      </c>
      <c r="AC17" s="41">
        <v>1080526</v>
      </c>
      <c r="AD17" s="40">
        <v>1132206</v>
      </c>
      <c r="AE17" s="40">
        <v>1723577</v>
      </c>
      <c r="AF17" s="40">
        <v>1744963</v>
      </c>
      <c r="AG17" s="41">
        <v>2655863</v>
      </c>
      <c r="AH17" s="7"/>
    </row>
    <row r="18" spans="1:34">
      <c r="A18" s="64" t="s">
        <v>59</v>
      </c>
      <c r="B18" s="42" t="s">
        <v>1</v>
      </c>
      <c r="C18" s="42" t="s">
        <v>1</v>
      </c>
      <c r="D18" s="42" t="s">
        <v>1</v>
      </c>
      <c r="E18" s="43" t="s">
        <v>1</v>
      </c>
      <c r="F18" s="42" t="s">
        <v>1</v>
      </c>
      <c r="G18" s="42" t="s">
        <v>1</v>
      </c>
      <c r="H18" s="42" t="s">
        <v>1</v>
      </c>
      <c r="I18" s="43" t="s">
        <v>1</v>
      </c>
      <c r="J18" s="42" t="s">
        <v>1</v>
      </c>
      <c r="K18" s="42" t="s">
        <v>1</v>
      </c>
      <c r="L18" s="42" t="s">
        <v>1</v>
      </c>
      <c r="M18" s="43" t="s">
        <v>1</v>
      </c>
      <c r="N18" s="42" t="s">
        <v>1</v>
      </c>
      <c r="O18" s="42" t="s">
        <v>1</v>
      </c>
      <c r="P18" s="42" t="s">
        <v>1</v>
      </c>
      <c r="Q18" s="43" t="s">
        <v>1</v>
      </c>
      <c r="R18" s="42">
        <v>654398</v>
      </c>
      <c r="S18" s="42">
        <v>641613</v>
      </c>
      <c r="T18" s="42">
        <v>694229</v>
      </c>
      <c r="U18" s="43">
        <v>400335</v>
      </c>
      <c r="V18" s="42">
        <v>254968</v>
      </c>
      <c r="W18" s="42">
        <v>226449</v>
      </c>
      <c r="X18" s="42">
        <v>460480</v>
      </c>
      <c r="Y18" s="43">
        <v>440397</v>
      </c>
      <c r="Z18" s="42">
        <v>481190</v>
      </c>
      <c r="AA18" s="42">
        <v>795234</v>
      </c>
      <c r="AB18" s="42">
        <v>758026</v>
      </c>
      <c r="AC18" s="43">
        <v>788160</v>
      </c>
      <c r="AD18" s="42">
        <v>1121519</v>
      </c>
      <c r="AE18" s="42">
        <v>1235448</v>
      </c>
      <c r="AF18" s="42">
        <v>1750274</v>
      </c>
      <c r="AG18" s="43">
        <v>2187741</v>
      </c>
      <c r="AH18" s="7"/>
    </row>
    <row r="19" spans="1:34" s="18" customFormat="1">
      <c r="A19" s="58" t="s">
        <v>44</v>
      </c>
      <c r="B19" s="53">
        <f>SUM(B6:B18)</f>
        <v>0</v>
      </c>
      <c r="C19" s="53">
        <f>SUM(C6:C18)</f>
        <v>0</v>
      </c>
      <c r="D19" s="53">
        <f>SUM(D6:D18)</f>
        <v>0</v>
      </c>
      <c r="E19" s="55" t="s">
        <v>1</v>
      </c>
      <c r="F19" s="53">
        <f>SUM(F6:F18)</f>
        <v>0</v>
      </c>
      <c r="G19" s="53">
        <f t="shared" ref="G19:AG19" si="0">SUM(G6:G18)</f>
        <v>101872</v>
      </c>
      <c r="H19" s="53">
        <f t="shared" si="0"/>
        <v>745997</v>
      </c>
      <c r="I19" s="55">
        <f t="shared" si="0"/>
        <v>1512905</v>
      </c>
      <c r="J19" s="53">
        <f t="shared" si="0"/>
        <v>2753449</v>
      </c>
      <c r="K19" s="53">
        <f t="shared" si="0"/>
        <v>4110760</v>
      </c>
      <c r="L19" s="53">
        <f t="shared" si="0"/>
        <v>5329491</v>
      </c>
      <c r="M19" s="55">
        <f t="shared" si="0"/>
        <v>7194886</v>
      </c>
      <c r="N19" s="53">
        <f t="shared" si="0"/>
        <v>8279169</v>
      </c>
      <c r="O19" s="53">
        <f t="shared" si="0"/>
        <v>10140215</v>
      </c>
      <c r="P19" s="53">
        <f t="shared" si="0"/>
        <v>10690703</v>
      </c>
      <c r="Q19" s="55">
        <f t="shared" si="0"/>
        <v>12946462</v>
      </c>
      <c r="R19" s="53">
        <f t="shared" si="0"/>
        <v>14623501</v>
      </c>
      <c r="S19" s="53">
        <f t="shared" si="0"/>
        <v>16927773</v>
      </c>
      <c r="T19" s="53">
        <f t="shared" si="0"/>
        <v>20088313</v>
      </c>
      <c r="U19" s="55">
        <f t="shared" si="0"/>
        <v>19970219</v>
      </c>
      <c r="V19" s="53">
        <f t="shared" si="0"/>
        <v>22290273</v>
      </c>
      <c r="W19" s="53">
        <f t="shared" si="0"/>
        <v>26072033</v>
      </c>
      <c r="X19" s="53">
        <f t="shared" si="0"/>
        <v>27812547</v>
      </c>
      <c r="Y19" s="55">
        <f t="shared" si="0"/>
        <v>33225346</v>
      </c>
      <c r="Z19" s="53">
        <f>SUM(Z6:Z18)</f>
        <v>36536176</v>
      </c>
      <c r="AA19" s="53">
        <f>SUM(AA6:AA18)</f>
        <v>42797184</v>
      </c>
      <c r="AB19" s="53">
        <f t="shared" si="0"/>
        <v>50586461</v>
      </c>
      <c r="AC19" s="55">
        <f t="shared" si="0"/>
        <v>56452723</v>
      </c>
      <c r="AD19" s="53">
        <f t="shared" si="0"/>
        <v>59491156</v>
      </c>
      <c r="AE19" s="53">
        <f t="shared" si="0"/>
        <v>63479065</v>
      </c>
      <c r="AF19" s="53">
        <f t="shared" si="0"/>
        <v>72446534</v>
      </c>
      <c r="AG19" s="55">
        <f t="shared" si="0"/>
        <v>93990857</v>
      </c>
      <c r="AH19" s="14"/>
    </row>
    <row r="20" spans="1:34" s="33" customFormat="1">
      <c r="A20" s="145" t="s">
        <v>45</v>
      </c>
      <c r="B20" s="44" t="s">
        <v>1</v>
      </c>
      <c r="C20" s="44" t="s">
        <v>1</v>
      </c>
      <c r="D20" s="44" t="s">
        <v>1</v>
      </c>
      <c r="E20" s="45" t="s">
        <v>1</v>
      </c>
      <c r="F20" s="44" t="s">
        <v>1</v>
      </c>
      <c r="G20" s="44">
        <f t="shared" ref="G20:AG20" si="1">G19+G4</f>
        <v>778238</v>
      </c>
      <c r="H20" s="44">
        <f t="shared" si="1"/>
        <v>1423337</v>
      </c>
      <c r="I20" s="45">
        <f t="shared" si="1"/>
        <v>2177435</v>
      </c>
      <c r="J20" s="44">
        <f t="shared" si="1"/>
        <v>3415167</v>
      </c>
      <c r="K20" s="44">
        <f t="shared" si="1"/>
        <v>4850847</v>
      </c>
      <c r="L20" s="44">
        <f t="shared" si="1"/>
        <v>6081343</v>
      </c>
      <c r="M20" s="45">
        <f t="shared" si="1"/>
        <v>7959507</v>
      </c>
      <c r="N20" s="44">
        <f t="shared" si="1"/>
        <v>9065260</v>
      </c>
      <c r="O20" s="44">
        <f t="shared" si="1"/>
        <v>10955488</v>
      </c>
      <c r="P20" s="44">
        <f t="shared" si="1"/>
        <v>12043556</v>
      </c>
      <c r="Q20" s="45">
        <f t="shared" si="1"/>
        <v>14350143</v>
      </c>
      <c r="R20" s="44">
        <f t="shared" si="1"/>
        <v>16122529</v>
      </c>
      <c r="S20" s="44">
        <f t="shared" si="1"/>
        <v>18481732</v>
      </c>
      <c r="T20" s="44">
        <f t="shared" si="1"/>
        <v>21728699</v>
      </c>
      <c r="U20" s="45">
        <f t="shared" si="1"/>
        <v>22188803</v>
      </c>
      <c r="V20" s="44">
        <f t="shared" si="1"/>
        <v>24957680</v>
      </c>
      <c r="W20" s="44">
        <f t="shared" si="1"/>
        <v>28842186</v>
      </c>
      <c r="X20" s="44">
        <f t="shared" si="1"/>
        <v>30803790</v>
      </c>
      <c r="Y20" s="45">
        <f t="shared" si="1"/>
        <v>36392174</v>
      </c>
      <c r="Z20" s="44">
        <f>Z19+Z4</f>
        <v>39785465</v>
      </c>
      <c r="AA20" s="44">
        <f>AA19+AA4</f>
        <v>46111646</v>
      </c>
      <c r="AB20" s="44">
        <f t="shared" si="1"/>
        <v>54212620</v>
      </c>
      <c r="AC20" s="45">
        <f t="shared" si="1"/>
        <v>60186996</v>
      </c>
      <c r="AD20" s="44">
        <f t="shared" si="1"/>
        <v>63338398</v>
      </c>
      <c r="AE20" s="44">
        <f t="shared" si="1"/>
        <v>67373327</v>
      </c>
      <c r="AF20" s="44">
        <f t="shared" si="1"/>
        <v>76435446</v>
      </c>
      <c r="AG20" s="45">
        <f t="shared" si="1"/>
        <v>98312592</v>
      </c>
      <c r="AH20" s="52"/>
    </row>
    <row r="21" spans="1:34" s="33" customFormat="1" ht="20.399999999999999">
      <c r="A21" s="82" t="s">
        <v>136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</row>
    <row r="22" spans="1:34">
      <c r="A22" s="79" t="s">
        <v>41</v>
      </c>
      <c r="B22" s="2" t="s">
        <v>1</v>
      </c>
      <c r="C22" s="2" t="s">
        <v>1</v>
      </c>
      <c r="D22" s="2" t="s">
        <v>1</v>
      </c>
      <c r="E22" s="17" t="s">
        <v>1</v>
      </c>
      <c r="F22" s="2" t="s">
        <v>1</v>
      </c>
      <c r="G22" s="2">
        <v>348.86</v>
      </c>
      <c r="H22" s="2">
        <v>47.41</v>
      </c>
      <c r="I22" s="17">
        <v>47.41</v>
      </c>
      <c r="J22" s="2">
        <v>20.48</v>
      </c>
      <c r="K22" s="2">
        <v>17.190000000000001</v>
      </c>
      <c r="L22" s="2">
        <v>14.36</v>
      </c>
      <c r="M22" s="17">
        <v>12.46</v>
      </c>
      <c r="N22" s="2">
        <v>13.32</v>
      </c>
      <c r="O22" s="2">
        <v>16.38</v>
      </c>
      <c r="P22" s="2">
        <v>14.59</v>
      </c>
      <c r="Q22" s="17">
        <v>13.06</v>
      </c>
      <c r="R22" s="2">
        <v>17.350000000000001</v>
      </c>
      <c r="S22" s="2">
        <v>14.15</v>
      </c>
      <c r="T22" s="2">
        <v>14.27</v>
      </c>
      <c r="U22" s="17">
        <v>12.76</v>
      </c>
      <c r="V22" s="2">
        <v>14.53</v>
      </c>
      <c r="W22" s="2">
        <v>15.76</v>
      </c>
      <c r="X22" s="2">
        <v>16.600000000000001</v>
      </c>
      <c r="Y22" s="17">
        <v>16.579999999999998</v>
      </c>
      <c r="Z22" s="2">
        <v>14.28</v>
      </c>
      <c r="AA22" s="2">
        <v>15.04</v>
      </c>
      <c r="AB22" s="2">
        <v>15.68</v>
      </c>
      <c r="AC22" s="17">
        <v>14.75</v>
      </c>
      <c r="AD22" s="2">
        <v>13.87</v>
      </c>
      <c r="AE22" s="2">
        <v>13.87</v>
      </c>
      <c r="AF22" s="2">
        <v>12.89</v>
      </c>
      <c r="AG22" s="17">
        <v>14.02</v>
      </c>
    </row>
    <row r="23" spans="1:34">
      <c r="A23" s="79" t="s">
        <v>62</v>
      </c>
      <c r="B23" s="2" t="s">
        <v>1</v>
      </c>
      <c r="C23" s="2" t="s">
        <v>1</v>
      </c>
      <c r="D23" s="2" t="s">
        <v>1</v>
      </c>
      <c r="E23" s="17" t="s">
        <v>1</v>
      </c>
      <c r="G23" s="2">
        <f t="shared" ref="G23:AG23" si="2">G4/G20*100</f>
        <v>86.909917017673251</v>
      </c>
      <c r="H23" s="2">
        <f t="shared" si="2"/>
        <v>47.588167805656703</v>
      </c>
      <c r="I23" s="17">
        <f t="shared" si="2"/>
        <v>30.518936271346792</v>
      </c>
      <c r="J23" s="2">
        <f t="shared" si="2"/>
        <v>19.375860682654757</v>
      </c>
      <c r="K23" s="2">
        <f t="shared" si="2"/>
        <v>15.256861327516615</v>
      </c>
      <c r="L23" s="2">
        <f t="shared" si="2"/>
        <v>12.363255945273931</v>
      </c>
      <c r="M23" s="17">
        <f t="shared" si="2"/>
        <v>9.6063864256919427</v>
      </c>
      <c r="N23" s="2">
        <f t="shared" si="2"/>
        <v>8.6714666760798913</v>
      </c>
      <c r="O23" s="2">
        <f t="shared" si="2"/>
        <v>7.441685847312324</v>
      </c>
      <c r="P23" s="2">
        <f t="shared" si="2"/>
        <v>11.233002943648868</v>
      </c>
      <c r="Q23" s="17">
        <f t="shared" si="2"/>
        <v>9.7816516532274278</v>
      </c>
      <c r="R23" s="2">
        <f t="shared" si="2"/>
        <v>9.2977224602914337</v>
      </c>
      <c r="S23" s="2">
        <f t="shared" si="2"/>
        <v>8.4080810175150251</v>
      </c>
      <c r="T23" s="2">
        <f t="shared" si="2"/>
        <v>7.5493981485039674</v>
      </c>
      <c r="U23" s="17">
        <f t="shared" si="2"/>
        <v>9.9986646418015432</v>
      </c>
      <c r="V23" s="2">
        <f t="shared" si="2"/>
        <v>10.68772017270836</v>
      </c>
      <c r="W23" s="2">
        <f t="shared" si="2"/>
        <v>9.6045181873523724</v>
      </c>
      <c r="X23" s="2">
        <f t="shared" si="2"/>
        <v>9.7106330097692517</v>
      </c>
      <c r="Y23" s="17">
        <f t="shared" si="2"/>
        <v>8.7019478418629248</v>
      </c>
      <c r="Z23" s="2">
        <f t="shared" si="2"/>
        <v>8.1670253194225584</v>
      </c>
      <c r="AA23" s="2">
        <f t="shared" si="2"/>
        <v>7.1879064998026747</v>
      </c>
      <c r="AB23" s="2">
        <f t="shared" si="2"/>
        <v>6.6887728355500986</v>
      </c>
      <c r="AC23" s="17">
        <f t="shared" si="2"/>
        <v>6.2044515396648139</v>
      </c>
      <c r="AD23" s="2">
        <f t="shared" si="2"/>
        <v>6.074106894841262</v>
      </c>
      <c r="AE23" s="2">
        <f t="shared" si="2"/>
        <v>5.7801242322499524</v>
      </c>
      <c r="AF23" s="2">
        <f t="shared" si="2"/>
        <v>5.2186677892871849</v>
      </c>
      <c r="AG23" s="17">
        <f t="shared" si="2"/>
        <v>4.3959119702591103</v>
      </c>
    </row>
    <row r="24" spans="1:34">
      <c r="A24" s="79" t="s">
        <v>46</v>
      </c>
      <c r="B24" s="2" t="s">
        <v>1</v>
      </c>
      <c r="C24" s="2" t="s">
        <v>1</v>
      </c>
      <c r="D24" s="2" t="s">
        <v>1</v>
      </c>
      <c r="E24" s="17" t="s">
        <v>1</v>
      </c>
      <c r="F24" s="2" t="s">
        <v>1</v>
      </c>
      <c r="G24" s="2">
        <f t="shared" ref="G24:AG24" si="3">G19/G4</f>
        <v>0.15061667795246952</v>
      </c>
      <c r="H24" s="2">
        <f t="shared" si="3"/>
        <v>1.1013626834381551</v>
      </c>
      <c r="I24" s="17">
        <f t="shared" si="3"/>
        <v>2.2766541766361188</v>
      </c>
      <c r="J24" s="2">
        <f t="shared" si="3"/>
        <v>4.1610610562203236</v>
      </c>
      <c r="K24" s="2">
        <f t="shared" si="3"/>
        <v>5.5544280604847804</v>
      </c>
      <c r="L24" s="2">
        <f t="shared" si="3"/>
        <v>7.0884841697568142</v>
      </c>
      <c r="M24" s="17">
        <f t="shared" si="3"/>
        <v>9.4097415582360409</v>
      </c>
      <c r="N24" s="2">
        <f t="shared" si="3"/>
        <v>10.532074530811318</v>
      </c>
      <c r="O24" s="2">
        <f t="shared" si="3"/>
        <v>12.437815308491757</v>
      </c>
      <c r="P24" s="2">
        <f t="shared" si="3"/>
        <v>7.9023389828754489</v>
      </c>
      <c r="Q24" s="17">
        <f t="shared" si="3"/>
        <v>9.2232223703248817</v>
      </c>
      <c r="R24" s="2">
        <f t="shared" si="3"/>
        <v>9.7553221153974441</v>
      </c>
      <c r="S24" s="2">
        <f t="shared" si="3"/>
        <v>10.893320222734319</v>
      </c>
      <c r="T24" s="2">
        <f t="shared" si="3"/>
        <v>12.246089030264828</v>
      </c>
      <c r="U24" s="17">
        <f t="shared" si="3"/>
        <v>9.0013355365404237</v>
      </c>
      <c r="V24" s="2">
        <f t="shared" si="3"/>
        <v>8.3565323926944775</v>
      </c>
      <c r="W24" s="2">
        <f t="shared" si="3"/>
        <v>9.4117664258977758</v>
      </c>
      <c r="X24" s="2">
        <f t="shared" si="3"/>
        <v>9.2979898323205443</v>
      </c>
      <c r="Y24" s="17">
        <f t="shared" si="3"/>
        <v>10.49168000282933</v>
      </c>
      <c r="Z24" s="2">
        <f t="shared" si="3"/>
        <v>11.244360227729821</v>
      </c>
      <c r="AA24" s="2">
        <f t="shared" si="3"/>
        <v>12.912256649797161</v>
      </c>
      <c r="AB24" s="2">
        <f t="shared" si="3"/>
        <v>13.950425505334984</v>
      </c>
      <c r="AC24" s="17">
        <f t="shared" si="3"/>
        <v>15.117460078574865</v>
      </c>
      <c r="AD24" s="2">
        <f t="shared" si="3"/>
        <v>15.463325675899775</v>
      </c>
      <c r="AE24" s="2">
        <f t="shared" si="3"/>
        <v>16.300666210953448</v>
      </c>
      <c r="AF24" s="2">
        <f t="shared" si="3"/>
        <v>18.161978504414236</v>
      </c>
      <c r="AG24" s="17">
        <f t="shared" si="3"/>
        <v>21.748408220309667</v>
      </c>
    </row>
    <row r="25" spans="1:34">
      <c r="A25" s="79" t="s">
        <v>47</v>
      </c>
      <c r="B25" s="2" t="s">
        <v>1</v>
      </c>
      <c r="C25" s="2" t="s">
        <v>1</v>
      </c>
      <c r="D25" s="2" t="s">
        <v>1</v>
      </c>
      <c r="E25" s="17" t="s">
        <v>1</v>
      </c>
      <c r="F25" s="2" t="s">
        <v>1</v>
      </c>
      <c r="G25" s="2">
        <f t="shared" ref="G25:AG25" si="4">G20/G4</f>
        <v>1.1506166779524696</v>
      </c>
      <c r="H25" s="2">
        <f t="shared" si="4"/>
        <v>2.1013626834381554</v>
      </c>
      <c r="I25" s="17">
        <f t="shared" si="4"/>
        <v>3.2766541766361188</v>
      </c>
      <c r="J25" s="2">
        <f t="shared" si="4"/>
        <v>5.1610610562203236</v>
      </c>
      <c r="K25" s="2">
        <f t="shared" si="4"/>
        <v>6.5544280604847804</v>
      </c>
      <c r="L25" s="2">
        <f t="shared" si="4"/>
        <v>8.0884841697568142</v>
      </c>
      <c r="M25" s="17">
        <f t="shared" si="4"/>
        <v>10.409741558236041</v>
      </c>
      <c r="N25" s="2">
        <f t="shared" si="4"/>
        <v>11.532074530811318</v>
      </c>
      <c r="O25" s="2">
        <f t="shared" si="4"/>
        <v>13.437815308491757</v>
      </c>
      <c r="P25" s="2">
        <f t="shared" si="4"/>
        <v>8.9023389828754489</v>
      </c>
      <c r="Q25" s="17">
        <f t="shared" si="4"/>
        <v>10.223222370324882</v>
      </c>
      <c r="R25" s="2">
        <f t="shared" si="4"/>
        <v>10.755322115397444</v>
      </c>
      <c r="S25" s="2">
        <f t="shared" si="4"/>
        <v>11.893320222734319</v>
      </c>
      <c r="T25" s="2">
        <f t="shared" si="4"/>
        <v>13.246089030264828</v>
      </c>
      <c r="U25" s="17">
        <f t="shared" si="4"/>
        <v>10.001335536540424</v>
      </c>
      <c r="V25" s="2">
        <f t="shared" si="4"/>
        <v>9.3565323926944775</v>
      </c>
      <c r="W25" s="2">
        <f t="shared" si="4"/>
        <v>10.411766425897776</v>
      </c>
      <c r="X25" s="2">
        <f t="shared" si="4"/>
        <v>10.297989832320544</v>
      </c>
      <c r="Y25" s="17">
        <f t="shared" si="4"/>
        <v>11.49168000282933</v>
      </c>
      <c r="Z25" s="2">
        <f t="shared" si="4"/>
        <v>12.244360227729821</v>
      </c>
      <c r="AA25" s="2">
        <f t="shared" si="4"/>
        <v>13.912256649797161</v>
      </c>
      <c r="AB25" s="2">
        <f t="shared" si="4"/>
        <v>14.950425505334984</v>
      </c>
      <c r="AC25" s="17">
        <f t="shared" si="4"/>
        <v>16.117460078574865</v>
      </c>
      <c r="AD25" s="2">
        <f t="shared" si="4"/>
        <v>16.463325675899775</v>
      </c>
      <c r="AE25" s="2">
        <f t="shared" si="4"/>
        <v>17.300666210953448</v>
      </c>
      <c r="AF25" s="2">
        <f t="shared" si="4"/>
        <v>19.161978504414236</v>
      </c>
      <c r="AG25" s="17">
        <f t="shared" si="4"/>
        <v>22.748408220309667</v>
      </c>
    </row>
    <row r="26" spans="1:34" s="16" customFormat="1">
      <c r="A26" s="79" t="s">
        <v>63</v>
      </c>
      <c r="B26" s="15" t="s">
        <v>1</v>
      </c>
      <c r="C26" s="15" t="s">
        <v>1</v>
      </c>
      <c r="D26" s="15" t="s">
        <v>1</v>
      </c>
      <c r="E26" s="8" t="s">
        <v>1</v>
      </c>
      <c r="F26" s="15" t="s">
        <v>1</v>
      </c>
      <c r="G26" s="15">
        <f t="shared" ref="G26:AG26" si="5">G4/G19*100</f>
        <v>663.93709753416056</v>
      </c>
      <c r="H26" s="15">
        <f t="shared" si="5"/>
        <v>90.796611782621113</v>
      </c>
      <c r="I26" s="8">
        <f t="shared" si="5"/>
        <v>43.924106272370047</v>
      </c>
      <c r="J26" s="15">
        <f t="shared" si="5"/>
        <v>24.032331813663518</v>
      </c>
      <c r="K26" s="15">
        <f t="shared" si="5"/>
        <v>18.00365382556997</v>
      </c>
      <c r="L26" s="15">
        <f t="shared" si="5"/>
        <v>14.107388491696488</v>
      </c>
      <c r="M26" s="8">
        <f t="shared" si="5"/>
        <v>10.627284435083475</v>
      </c>
      <c r="N26" s="15">
        <f t="shared" si="5"/>
        <v>9.4948055777095508</v>
      </c>
      <c r="O26" s="15">
        <f t="shared" si="5"/>
        <v>8.0399971795469813</v>
      </c>
      <c r="P26" s="15">
        <f t="shared" si="5"/>
        <v>12.654481188000451</v>
      </c>
      <c r="Q26" s="8">
        <f t="shared" si="5"/>
        <v>10.842197659870319</v>
      </c>
      <c r="R26" s="15">
        <f t="shared" si="5"/>
        <v>10.250814767270846</v>
      </c>
      <c r="S26" s="15">
        <f t="shared" si="5"/>
        <v>9.179937609040481</v>
      </c>
      <c r="T26" s="15">
        <f t="shared" si="5"/>
        <v>8.1658723656884487</v>
      </c>
      <c r="U26" s="8">
        <f t="shared" si="5"/>
        <v>11.109462545202934</v>
      </c>
      <c r="V26" s="15">
        <f t="shared" si="5"/>
        <v>11.96668609666647</v>
      </c>
      <c r="W26" s="15">
        <f t="shared" si="5"/>
        <v>10.624998058264195</v>
      </c>
      <c r="X26" s="15">
        <f t="shared" si="5"/>
        <v>10.755012836472689</v>
      </c>
      <c r="Y26" s="8">
        <f t="shared" si="5"/>
        <v>9.5313619909330676</v>
      </c>
      <c r="Z26" s="15">
        <f t="shared" si="5"/>
        <v>8.893347240280427</v>
      </c>
      <c r="AA26" s="15">
        <f t="shared" si="5"/>
        <v>7.7445796433709289</v>
      </c>
      <c r="AB26" s="15">
        <f t="shared" si="5"/>
        <v>7.1682401344502047</v>
      </c>
      <c r="AC26" s="8">
        <f t="shared" si="5"/>
        <v>6.614867807173801</v>
      </c>
      <c r="AD26" s="15">
        <f t="shared" si="5"/>
        <v>6.4669141746043728</v>
      </c>
      <c r="AE26" s="15">
        <f t="shared" si="5"/>
        <v>6.1347185879313129</v>
      </c>
      <c r="AF26" s="15">
        <f t="shared" si="5"/>
        <v>5.5060080583013118</v>
      </c>
      <c r="AG26" s="9">
        <f t="shared" si="5"/>
        <v>4.5980376580671036</v>
      </c>
    </row>
  </sheetData>
  <mergeCells count="33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AE1:AE2"/>
    <mergeCell ref="AF1:AF2"/>
    <mergeCell ref="AG1:AG2"/>
    <mergeCell ref="Z1:Z2"/>
    <mergeCell ref="AA1:AA2"/>
    <mergeCell ref="AB1:AB2"/>
    <mergeCell ref="AC1:AC2"/>
    <mergeCell ref="AD1:AD2"/>
  </mergeCells>
  <phoneticPr fontId="2" type="noConversion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119BB-3F3F-4FB1-A1AB-D409A0E98B8F}">
  <dimension ref="A1:J43"/>
  <sheetViews>
    <sheetView zoomScale="70" zoomScaleNormal="70" workbookViewId="0">
      <pane xSplit="1" topLeftCell="B1" activePane="topRight" state="frozen"/>
      <selection pane="topRight" activeCell="B36" sqref="B36"/>
    </sheetView>
  </sheetViews>
  <sheetFormatPr defaultRowHeight="14.4"/>
  <cols>
    <col min="1" max="1" width="53.88671875" customWidth="1"/>
    <col min="2" max="2" width="8.21875" bestFit="1" customWidth="1"/>
    <col min="3" max="8" width="12.44140625" bestFit="1" customWidth="1"/>
    <col min="9" max="9" width="14.109375" bestFit="1" customWidth="1"/>
    <col min="10" max="10" width="14.6640625" bestFit="1" customWidth="1"/>
  </cols>
  <sheetData>
    <row r="1" spans="1:10" ht="14.4" customHeight="1">
      <c r="A1" s="373" t="s">
        <v>6</v>
      </c>
      <c r="B1" s="367">
        <v>2014</v>
      </c>
      <c r="C1" s="367">
        <v>2015</v>
      </c>
      <c r="D1" s="367">
        <v>2016</v>
      </c>
      <c r="E1" s="367">
        <v>2017</v>
      </c>
      <c r="F1" s="367">
        <v>2018</v>
      </c>
      <c r="G1" s="367">
        <v>2019</v>
      </c>
      <c r="H1" s="367">
        <v>2020</v>
      </c>
      <c r="I1" s="369">
        <v>2021</v>
      </c>
      <c r="J1" s="371" t="s">
        <v>124</v>
      </c>
    </row>
    <row r="2" spans="1:10" ht="14.4" customHeight="1" thickBot="1">
      <c r="A2" s="374"/>
      <c r="B2" s="368"/>
      <c r="C2" s="368"/>
      <c r="D2" s="368"/>
      <c r="E2" s="368"/>
      <c r="F2" s="368"/>
      <c r="G2" s="368"/>
      <c r="H2" s="368"/>
      <c r="I2" s="370"/>
      <c r="J2" s="372"/>
    </row>
    <row r="3" spans="1:10" ht="20.399999999999999">
      <c r="A3" s="87" t="s">
        <v>135</v>
      </c>
      <c r="B3" s="95"/>
      <c r="C3" s="95"/>
      <c r="D3" s="95"/>
      <c r="E3" s="95"/>
      <c r="F3" s="95"/>
      <c r="G3" s="95"/>
      <c r="H3" s="95"/>
      <c r="I3" s="96"/>
      <c r="J3" s="97"/>
    </row>
    <row r="4" spans="1:10" ht="26.4">
      <c r="A4" s="98" t="s">
        <v>149</v>
      </c>
      <c r="B4" s="146" t="s">
        <v>1</v>
      </c>
      <c r="C4" s="146">
        <v>1</v>
      </c>
      <c r="D4" s="146">
        <v>550931</v>
      </c>
      <c r="E4" s="146">
        <v>2189837</v>
      </c>
      <c r="F4" s="148">
        <v>4135990</v>
      </c>
      <c r="G4" s="148">
        <v>2932045</v>
      </c>
      <c r="H4" s="148">
        <v>9357790</v>
      </c>
      <c r="I4" s="149">
        <v>18315738</v>
      </c>
      <c r="J4" s="97">
        <f>AVERAGE(B4:I4)</f>
        <v>5354618.8571428573</v>
      </c>
    </row>
    <row r="5" spans="1:10">
      <c r="A5" s="98" t="s">
        <v>142</v>
      </c>
      <c r="B5" s="146" t="s">
        <v>1</v>
      </c>
      <c r="C5" s="146">
        <v>834389</v>
      </c>
      <c r="D5" s="146">
        <v>584227</v>
      </c>
      <c r="E5" s="146">
        <v>514334</v>
      </c>
      <c r="F5" s="148">
        <v>1393622</v>
      </c>
      <c r="G5" s="148">
        <v>1956364</v>
      </c>
      <c r="H5" s="148">
        <v>687028</v>
      </c>
      <c r="I5" s="149">
        <v>2331387</v>
      </c>
      <c r="J5" s="97">
        <f t="shared" ref="J5:J25" si="0">AVERAGE(B5:I5)</f>
        <v>1185907.2857142857</v>
      </c>
    </row>
    <row r="6" spans="1:10" ht="26.4">
      <c r="A6" s="98" t="s">
        <v>145</v>
      </c>
      <c r="B6" s="146" t="s">
        <v>1</v>
      </c>
      <c r="C6" s="146">
        <v>10020</v>
      </c>
      <c r="D6" s="146">
        <v>464411</v>
      </c>
      <c r="E6" s="146">
        <v>695600</v>
      </c>
      <c r="F6" s="148">
        <v>1442087</v>
      </c>
      <c r="G6" s="148">
        <v>4185139</v>
      </c>
      <c r="H6" s="148">
        <v>9998207</v>
      </c>
      <c r="I6" s="149">
        <v>17215449</v>
      </c>
      <c r="J6" s="97">
        <f t="shared" si="0"/>
        <v>4858701.8571428573</v>
      </c>
    </row>
    <row r="7" spans="1:10">
      <c r="A7" s="98" t="s">
        <v>151</v>
      </c>
      <c r="B7" s="146" t="s">
        <v>1</v>
      </c>
      <c r="C7" s="146" t="s">
        <v>1</v>
      </c>
      <c r="D7" s="146">
        <v>2946447</v>
      </c>
      <c r="E7" s="146">
        <v>9585506</v>
      </c>
      <c r="F7" s="148">
        <v>13567228</v>
      </c>
      <c r="G7" s="148">
        <v>18588745</v>
      </c>
      <c r="H7" s="148">
        <v>29107607</v>
      </c>
      <c r="I7" s="149">
        <v>56087057</v>
      </c>
      <c r="J7" s="97">
        <f t="shared" si="0"/>
        <v>21647098.333333332</v>
      </c>
    </row>
    <row r="8" spans="1:10">
      <c r="A8" s="98" t="s">
        <v>144</v>
      </c>
      <c r="B8" s="146" t="s">
        <v>1</v>
      </c>
      <c r="C8" s="146" t="s">
        <v>1</v>
      </c>
      <c r="D8" s="146">
        <v>3647</v>
      </c>
      <c r="E8" s="146">
        <v>15438</v>
      </c>
      <c r="F8" s="148">
        <v>245988</v>
      </c>
      <c r="G8" s="148">
        <v>571074</v>
      </c>
      <c r="H8" s="148">
        <v>714652</v>
      </c>
      <c r="I8" s="149">
        <v>928006</v>
      </c>
      <c r="J8" s="97">
        <f t="shared" si="0"/>
        <v>413134.16666666669</v>
      </c>
    </row>
    <row r="9" spans="1:10" s="67" customFormat="1">
      <c r="A9" s="143" t="s">
        <v>43</v>
      </c>
      <c r="B9" s="150" t="s">
        <v>1</v>
      </c>
      <c r="C9" s="150">
        <v>857671</v>
      </c>
      <c r="D9" s="150">
        <v>876418</v>
      </c>
      <c r="E9" s="150">
        <v>1107885</v>
      </c>
      <c r="F9" s="152">
        <v>1527226</v>
      </c>
      <c r="G9" s="152">
        <v>1960693</v>
      </c>
      <c r="H9" s="152">
        <v>4798566</v>
      </c>
      <c r="I9" s="153">
        <v>8619719</v>
      </c>
      <c r="J9" s="97">
        <f t="shared" si="0"/>
        <v>2821168.2857142859</v>
      </c>
    </row>
    <row r="10" spans="1:10">
      <c r="A10" s="98" t="s">
        <v>42</v>
      </c>
      <c r="B10" s="146"/>
      <c r="C10" s="146"/>
      <c r="D10" s="146"/>
      <c r="E10" s="146"/>
      <c r="F10" s="148"/>
      <c r="G10" s="148"/>
      <c r="H10" s="148"/>
      <c r="I10" s="149"/>
      <c r="J10" s="97"/>
    </row>
    <row r="11" spans="1:10">
      <c r="A11" s="98" t="s">
        <v>90</v>
      </c>
      <c r="B11" s="146" t="s">
        <v>1</v>
      </c>
      <c r="C11" s="146" t="s">
        <v>1</v>
      </c>
      <c r="D11" s="146">
        <v>3034756</v>
      </c>
      <c r="E11" s="146">
        <v>10088414</v>
      </c>
      <c r="F11" s="148">
        <v>15182406</v>
      </c>
      <c r="G11" s="148">
        <v>22953215</v>
      </c>
      <c r="H11" s="148">
        <v>39566471</v>
      </c>
      <c r="I11" s="149">
        <v>73625445</v>
      </c>
      <c r="J11" s="97">
        <f t="shared" si="0"/>
        <v>27408451.166666668</v>
      </c>
    </row>
    <row r="12" spans="1:10">
      <c r="A12" s="98" t="s">
        <v>91</v>
      </c>
      <c r="B12" s="146" t="s">
        <v>1</v>
      </c>
      <c r="C12" s="146" t="s">
        <v>1</v>
      </c>
      <c r="D12" s="146">
        <v>2094</v>
      </c>
      <c r="E12" s="146">
        <v>1855</v>
      </c>
      <c r="F12" s="148">
        <v>3691339</v>
      </c>
      <c r="G12" s="148">
        <v>3604916</v>
      </c>
      <c r="H12" s="148">
        <v>5808300</v>
      </c>
      <c r="I12" s="149">
        <v>10114969</v>
      </c>
      <c r="J12" s="97">
        <f t="shared" si="0"/>
        <v>3870578.8333333335</v>
      </c>
    </row>
    <row r="13" spans="1:10" ht="28.2" customHeight="1">
      <c r="A13" s="98" t="s">
        <v>92</v>
      </c>
      <c r="B13" s="146" t="s">
        <v>1</v>
      </c>
      <c r="C13" s="146" t="s">
        <v>1</v>
      </c>
      <c r="D13" s="146">
        <v>199278</v>
      </c>
      <c r="E13" s="146">
        <v>1270654</v>
      </c>
      <c r="F13" s="148" t="s">
        <v>1</v>
      </c>
      <c r="G13" s="148">
        <v>344550</v>
      </c>
      <c r="H13" s="148">
        <v>537043</v>
      </c>
      <c r="I13" s="149">
        <v>4676059</v>
      </c>
      <c r="J13" s="97">
        <f t="shared" si="0"/>
        <v>1405516.8</v>
      </c>
    </row>
    <row r="14" spans="1:10">
      <c r="A14" s="88" t="s">
        <v>93</v>
      </c>
      <c r="B14" s="150" t="s">
        <v>1</v>
      </c>
      <c r="C14" s="150" t="s">
        <v>1</v>
      </c>
      <c r="D14" s="150">
        <v>40832</v>
      </c>
      <c r="E14" s="150">
        <v>370258</v>
      </c>
      <c r="F14" s="166" t="s">
        <v>1</v>
      </c>
      <c r="G14" s="166" t="s">
        <v>1</v>
      </c>
      <c r="H14" s="166" t="s">
        <v>1</v>
      </c>
      <c r="I14" s="167" t="s">
        <v>1</v>
      </c>
      <c r="J14" s="97">
        <f t="shared" si="0"/>
        <v>205545</v>
      </c>
    </row>
    <row r="15" spans="1:10" ht="27.6">
      <c r="A15" s="98" t="s">
        <v>94</v>
      </c>
      <c r="B15" s="146" t="s">
        <v>1</v>
      </c>
      <c r="C15" s="146" t="s">
        <v>1</v>
      </c>
      <c r="D15" s="146" t="s">
        <v>1</v>
      </c>
      <c r="E15" s="146" t="s">
        <v>1</v>
      </c>
      <c r="F15" s="148" t="s">
        <v>1</v>
      </c>
      <c r="G15" s="148" t="s">
        <v>1</v>
      </c>
      <c r="H15" s="148" t="s">
        <v>1</v>
      </c>
      <c r="I15" s="149" t="s">
        <v>1</v>
      </c>
      <c r="J15" s="97"/>
    </row>
    <row r="16" spans="1:10" ht="28.2" customHeight="1">
      <c r="A16" s="101" t="s">
        <v>95</v>
      </c>
      <c r="B16" s="146" t="s">
        <v>1</v>
      </c>
      <c r="C16" s="146">
        <v>3332</v>
      </c>
      <c r="D16" s="146">
        <v>492140</v>
      </c>
      <c r="E16" s="146">
        <v>229256</v>
      </c>
      <c r="F16" s="148">
        <v>19641</v>
      </c>
      <c r="G16" s="148">
        <v>52203</v>
      </c>
      <c r="H16" s="148">
        <v>392551</v>
      </c>
      <c r="I16" s="149">
        <v>476789</v>
      </c>
      <c r="J16" s="97">
        <f t="shared" si="0"/>
        <v>237987.42857142858</v>
      </c>
    </row>
    <row r="17" spans="1:10">
      <c r="A17" s="101" t="s">
        <v>96</v>
      </c>
      <c r="B17" s="146" t="s">
        <v>1</v>
      </c>
      <c r="C17" s="146" t="s">
        <v>1</v>
      </c>
      <c r="D17" s="146" t="s">
        <v>1</v>
      </c>
      <c r="E17" s="146" t="s">
        <v>1</v>
      </c>
      <c r="F17" s="148"/>
      <c r="G17" s="148">
        <v>151806</v>
      </c>
      <c r="H17" s="148">
        <v>174051</v>
      </c>
      <c r="I17" s="149">
        <v>187200</v>
      </c>
      <c r="J17" s="97">
        <f t="shared" si="0"/>
        <v>171019</v>
      </c>
    </row>
    <row r="18" spans="1:10">
      <c r="A18" s="101" t="s">
        <v>97</v>
      </c>
      <c r="B18" s="146" t="s">
        <v>1</v>
      </c>
      <c r="C18" s="146" t="s">
        <v>1</v>
      </c>
      <c r="D18" s="146" t="s">
        <v>1</v>
      </c>
      <c r="E18" s="146" t="s">
        <v>1</v>
      </c>
      <c r="F18" s="148">
        <v>141201</v>
      </c>
      <c r="G18" s="148">
        <v>191054</v>
      </c>
      <c r="H18" s="148">
        <v>302518</v>
      </c>
      <c r="I18" s="149">
        <v>387971</v>
      </c>
      <c r="J18" s="97">
        <f t="shared" si="0"/>
        <v>255686</v>
      </c>
    </row>
    <row r="19" spans="1:10" ht="27.6">
      <c r="A19" s="101" t="s">
        <v>98</v>
      </c>
      <c r="B19" s="146" t="s">
        <v>1</v>
      </c>
      <c r="C19" s="146" t="s">
        <v>1</v>
      </c>
      <c r="D19" s="146" t="s">
        <v>1</v>
      </c>
      <c r="E19" s="146" t="s">
        <v>1</v>
      </c>
      <c r="F19" s="148">
        <v>67187</v>
      </c>
      <c r="G19" s="148">
        <v>108911</v>
      </c>
      <c r="H19" s="148">
        <v>130528</v>
      </c>
      <c r="I19" s="149">
        <v>375539</v>
      </c>
      <c r="J19" s="97">
        <f t="shared" si="0"/>
        <v>170541.25</v>
      </c>
    </row>
    <row r="20" spans="1:10">
      <c r="A20" s="101" t="s">
        <v>99</v>
      </c>
      <c r="B20" s="146" t="s">
        <v>1</v>
      </c>
      <c r="C20" s="146" t="s">
        <v>1</v>
      </c>
      <c r="D20" s="146">
        <v>29101</v>
      </c>
      <c r="E20" s="146">
        <v>114305</v>
      </c>
      <c r="F20" s="148" t="s">
        <v>1</v>
      </c>
      <c r="G20" s="148" t="s">
        <v>1</v>
      </c>
      <c r="H20" s="148" t="s">
        <v>1</v>
      </c>
      <c r="I20" s="149" t="s">
        <v>1</v>
      </c>
      <c r="J20" s="97">
        <f t="shared" si="0"/>
        <v>71703</v>
      </c>
    </row>
    <row r="21" spans="1:10" ht="27.6">
      <c r="A21" s="101" t="s">
        <v>100</v>
      </c>
      <c r="B21" s="146" t="s">
        <v>1</v>
      </c>
      <c r="C21" s="146">
        <v>1027</v>
      </c>
      <c r="D21" s="146">
        <v>7314</v>
      </c>
      <c r="E21" s="146">
        <v>27518</v>
      </c>
      <c r="F21" s="148" t="s">
        <v>1</v>
      </c>
      <c r="G21" s="148" t="s">
        <v>1</v>
      </c>
      <c r="H21" s="148" t="s">
        <v>1</v>
      </c>
      <c r="I21" s="149" t="s">
        <v>1</v>
      </c>
      <c r="J21" s="97">
        <f t="shared" si="0"/>
        <v>11953</v>
      </c>
    </row>
    <row r="22" spans="1:10" ht="27.6">
      <c r="A22" s="101" t="s">
        <v>101</v>
      </c>
      <c r="B22" s="146" t="s">
        <v>1</v>
      </c>
      <c r="C22" s="146" t="s">
        <v>1</v>
      </c>
      <c r="D22" s="146" t="s">
        <v>1</v>
      </c>
      <c r="E22" s="146" t="s">
        <v>1</v>
      </c>
      <c r="F22" s="148" t="s">
        <v>1</v>
      </c>
      <c r="G22" s="148">
        <v>537047</v>
      </c>
      <c r="H22" s="148">
        <v>764430</v>
      </c>
      <c r="I22" s="149">
        <v>1345278</v>
      </c>
      <c r="J22" s="97">
        <f t="shared" si="0"/>
        <v>882251.66666666663</v>
      </c>
    </row>
    <row r="23" spans="1:10">
      <c r="A23" s="101" t="s">
        <v>102</v>
      </c>
      <c r="B23" s="146" t="s">
        <v>1</v>
      </c>
      <c r="C23" s="146" t="s">
        <v>1</v>
      </c>
      <c r="D23" s="146" t="s">
        <v>1</v>
      </c>
      <c r="E23" s="146" t="s">
        <v>1</v>
      </c>
      <c r="F23" s="148">
        <v>326512</v>
      </c>
      <c r="G23" s="148">
        <v>444389</v>
      </c>
      <c r="H23" s="148">
        <v>683170</v>
      </c>
      <c r="I23" s="149">
        <v>948117</v>
      </c>
      <c r="J23" s="97">
        <f t="shared" si="0"/>
        <v>600547</v>
      </c>
    </row>
    <row r="24" spans="1:10">
      <c r="A24" s="102" t="s">
        <v>44</v>
      </c>
      <c r="B24" s="152" t="s">
        <v>1</v>
      </c>
      <c r="C24" s="152">
        <f t="shared" ref="C24:I24" si="1">SUM(C11:C23)</f>
        <v>4359</v>
      </c>
      <c r="D24" s="152">
        <f t="shared" si="1"/>
        <v>3805515</v>
      </c>
      <c r="E24" s="152">
        <f t="shared" si="1"/>
        <v>12102260</v>
      </c>
      <c r="F24" s="152">
        <f t="shared" si="1"/>
        <v>19428286</v>
      </c>
      <c r="G24" s="152">
        <f t="shared" si="1"/>
        <v>28388091</v>
      </c>
      <c r="H24" s="152">
        <f t="shared" si="1"/>
        <v>48359062</v>
      </c>
      <c r="I24" s="153">
        <f t="shared" si="1"/>
        <v>92137367</v>
      </c>
      <c r="J24" s="97">
        <f t="shared" si="0"/>
        <v>29174991.428571429</v>
      </c>
    </row>
    <row r="25" spans="1:10">
      <c r="A25" s="102" t="s">
        <v>45</v>
      </c>
      <c r="B25" s="152" t="s">
        <v>1</v>
      </c>
      <c r="C25" s="152">
        <f t="shared" ref="C25:I25" si="2">C24+C9</f>
        <v>862030</v>
      </c>
      <c r="D25" s="152">
        <f t="shared" si="2"/>
        <v>4681933</v>
      </c>
      <c r="E25" s="152">
        <f t="shared" si="2"/>
        <v>13210145</v>
      </c>
      <c r="F25" s="152">
        <f t="shared" si="2"/>
        <v>20955512</v>
      </c>
      <c r="G25" s="152">
        <f t="shared" si="2"/>
        <v>30348784</v>
      </c>
      <c r="H25" s="152">
        <f t="shared" si="2"/>
        <v>53157628</v>
      </c>
      <c r="I25" s="153">
        <f t="shared" si="2"/>
        <v>100757086</v>
      </c>
      <c r="J25" s="97">
        <f t="shared" si="0"/>
        <v>31996159.714285713</v>
      </c>
    </row>
    <row r="26" spans="1:10">
      <c r="A26" s="107" t="s">
        <v>150</v>
      </c>
      <c r="B26" s="168" t="s">
        <v>1</v>
      </c>
      <c r="C26" s="168">
        <v>862030</v>
      </c>
      <c r="D26" s="168">
        <v>4681933</v>
      </c>
      <c r="E26" s="168">
        <v>13210145</v>
      </c>
      <c r="F26" s="168">
        <v>20955512</v>
      </c>
      <c r="G26" s="168">
        <v>30348784</v>
      </c>
      <c r="H26" s="168">
        <v>53157628</v>
      </c>
      <c r="I26" s="169">
        <v>100757086</v>
      </c>
      <c r="J26" s="169">
        <f>AVERAGE(B26:I26)</f>
        <v>31996159.714285713</v>
      </c>
    </row>
    <row r="27" spans="1:10" ht="20.399999999999999">
      <c r="A27" s="92" t="s">
        <v>136</v>
      </c>
      <c r="B27" s="154"/>
      <c r="C27" s="154"/>
      <c r="D27" s="154"/>
      <c r="E27" s="154"/>
      <c r="F27" s="154"/>
      <c r="G27" s="154"/>
      <c r="H27" s="154"/>
      <c r="I27" s="155"/>
      <c r="J27" s="97"/>
    </row>
    <row r="28" spans="1:10">
      <c r="A28" s="115" t="s">
        <v>41</v>
      </c>
      <c r="B28" s="142" t="s">
        <v>1</v>
      </c>
      <c r="C28" s="142" t="s">
        <v>1</v>
      </c>
      <c r="D28" s="142">
        <v>29.25</v>
      </c>
      <c r="E28" s="142">
        <v>14.09</v>
      </c>
      <c r="F28" s="142">
        <v>13.6</v>
      </c>
      <c r="G28" s="142">
        <v>14.88</v>
      </c>
      <c r="H28" s="142">
        <v>18.47</v>
      </c>
      <c r="I28" s="156">
        <v>18.29</v>
      </c>
      <c r="J28" s="141">
        <f>AVERAGE(B28:I28)</f>
        <v>18.096666666666668</v>
      </c>
    </row>
    <row r="29" spans="1:10">
      <c r="A29" s="115" t="s">
        <v>62</v>
      </c>
      <c r="B29" s="142" t="s">
        <v>1</v>
      </c>
      <c r="C29" s="142">
        <f t="shared" ref="C29:I29" si="3">C9/C25*100</f>
        <v>99.4943331438581</v>
      </c>
      <c r="D29" s="142">
        <f t="shared" si="3"/>
        <v>18.719148693499033</v>
      </c>
      <c r="E29" s="142">
        <f t="shared" si="3"/>
        <v>8.3866225541051964</v>
      </c>
      <c r="F29" s="142">
        <f t="shared" si="3"/>
        <v>7.2879440979537984</v>
      </c>
      <c r="G29" s="142">
        <f t="shared" si="3"/>
        <v>6.4605323231401961</v>
      </c>
      <c r="H29" s="142">
        <f t="shared" si="3"/>
        <v>9.0270506426659978</v>
      </c>
      <c r="I29" s="156">
        <f t="shared" si="3"/>
        <v>8.5549506661992982</v>
      </c>
      <c r="J29" s="141">
        <f t="shared" ref="J29:J43" si="4">AVERAGE(B29:I29)</f>
        <v>22.561511731631661</v>
      </c>
    </row>
    <row r="30" spans="1:10">
      <c r="A30" s="115" t="s">
        <v>46</v>
      </c>
      <c r="B30" s="142" t="s">
        <v>1</v>
      </c>
      <c r="C30" s="142">
        <f t="shared" ref="C30:I30" si="5">C24/C9</f>
        <v>5.082368413995576E-3</v>
      </c>
      <c r="D30" s="142">
        <f t="shared" si="5"/>
        <v>4.3421232790745972</v>
      </c>
      <c r="E30" s="142">
        <f t="shared" si="5"/>
        <v>10.923751111351811</v>
      </c>
      <c r="F30" s="142">
        <f t="shared" si="5"/>
        <v>12.721290758538684</v>
      </c>
      <c r="G30" s="142">
        <f t="shared" si="5"/>
        <v>14.478600678433594</v>
      </c>
      <c r="H30" s="142">
        <f t="shared" si="5"/>
        <v>10.07781533066337</v>
      </c>
      <c r="I30" s="156">
        <f t="shared" si="5"/>
        <v>10.689138126196458</v>
      </c>
      <c r="J30" s="141">
        <f t="shared" si="4"/>
        <v>9.0339716646675008</v>
      </c>
    </row>
    <row r="31" spans="1:10">
      <c r="A31" s="115" t="s">
        <v>47</v>
      </c>
      <c r="B31" s="142" t="s">
        <v>1</v>
      </c>
      <c r="C31" s="142">
        <f t="shared" ref="C31:I31" si="6">C25/C9</f>
        <v>1.0050823684139956</v>
      </c>
      <c r="D31" s="142">
        <f t="shared" si="6"/>
        <v>5.3421232790745972</v>
      </c>
      <c r="E31" s="142">
        <f t="shared" si="6"/>
        <v>11.923751111351811</v>
      </c>
      <c r="F31" s="142">
        <f t="shared" si="6"/>
        <v>13.721290758538684</v>
      </c>
      <c r="G31" s="142">
        <f t="shared" si="6"/>
        <v>15.478600678433594</v>
      </c>
      <c r="H31" s="142">
        <f t="shared" si="6"/>
        <v>11.07781533066337</v>
      </c>
      <c r="I31" s="156">
        <f t="shared" si="6"/>
        <v>11.689138126196458</v>
      </c>
      <c r="J31" s="141">
        <f t="shared" si="4"/>
        <v>10.033971664667503</v>
      </c>
    </row>
    <row r="32" spans="1:10">
      <c r="A32" s="115" t="s">
        <v>63</v>
      </c>
      <c r="B32" s="142" t="s">
        <v>1</v>
      </c>
      <c r="C32" s="142">
        <f t="shared" ref="C32:I32" si="7">C9/C24*100</f>
        <v>19675.866024317504</v>
      </c>
      <c r="D32" s="142">
        <f t="shared" si="7"/>
        <v>23.030207475203753</v>
      </c>
      <c r="E32" s="142">
        <f t="shared" si="7"/>
        <v>9.1543645567026317</v>
      </c>
      <c r="F32" s="142">
        <f t="shared" si="7"/>
        <v>7.8608375437750917</v>
      </c>
      <c r="G32" s="142">
        <f t="shared" si="7"/>
        <v>6.9067448036572801</v>
      </c>
      <c r="H32" s="142">
        <f t="shared" si="7"/>
        <v>9.9227855163940113</v>
      </c>
      <c r="I32" s="156">
        <f t="shared" si="7"/>
        <v>9.3552912142583811</v>
      </c>
      <c r="J32" s="141">
        <f t="shared" si="4"/>
        <v>2820.2994650610713</v>
      </c>
    </row>
    <row r="33" spans="1:10" ht="20.399999999999999">
      <c r="A33" s="93" t="s">
        <v>137</v>
      </c>
      <c r="B33" s="139"/>
      <c r="C33" s="139"/>
      <c r="D33" s="139"/>
      <c r="E33" s="139"/>
      <c r="F33" s="157"/>
      <c r="G33" s="157"/>
      <c r="H33" s="157"/>
      <c r="I33" s="158"/>
      <c r="J33" s="141"/>
    </row>
    <row r="34" spans="1:10" s="34" customFormat="1" ht="13.8">
      <c r="A34" s="124" t="s">
        <v>122</v>
      </c>
      <c r="B34" s="139" t="s">
        <v>1</v>
      </c>
      <c r="C34" s="139">
        <v>10068</v>
      </c>
      <c r="D34" s="139">
        <v>140987</v>
      </c>
      <c r="E34" s="139">
        <v>699371</v>
      </c>
      <c r="F34" s="157">
        <v>1718762</v>
      </c>
      <c r="G34" s="157">
        <v>2323643</v>
      </c>
      <c r="H34" s="157">
        <v>3031096</v>
      </c>
      <c r="I34" s="158">
        <v>5165347</v>
      </c>
      <c r="J34" s="141">
        <f>AVERAGE(B34:I34)</f>
        <v>1869896.2857142857</v>
      </c>
    </row>
    <row r="35" spans="1:10" s="34" customFormat="1" ht="13.8">
      <c r="A35" s="132" t="s">
        <v>123</v>
      </c>
      <c r="B35" s="139" t="s">
        <v>1</v>
      </c>
      <c r="C35" s="139" t="s">
        <v>1</v>
      </c>
      <c r="D35" s="139">
        <v>42355</v>
      </c>
      <c r="E35" s="139">
        <v>438122</v>
      </c>
      <c r="F35" s="157">
        <v>1105272</v>
      </c>
      <c r="G35" s="157">
        <v>1643509</v>
      </c>
      <c r="H35" s="157">
        <v>1344967</v>
      </c>
      <c r="I35" s="158">
        <v>2973421</v>
      </c>
      <c r="J35" s="141">
        <f t="shared" si="4"/>
        <v>1257941</v>
      </c>
    </row>
    <row r="36" spans="1:10" s="34" customFormat="1" ht="13.8">
      <c r="A36" s="126" t="s">
        <v>138</v>
      </c>
      <c r="B36" s="139" t="s">
        <v>1</v>
      </c>
      <c r="C36" s="159">
        <v>10068</v>
      </c>
      <c r="D36" s="159">
        <f t="shared" ref="D36:I36" si="8">D34-D35</f>
        <v>98632</v>
      </c>
      <c r="E36" s="159">
        <f t="shared" si="8"/>
        <v>261249</v>
      </c>
      <c r="F36" s="159">
        <f t="shared" si="8"/>
        <v>613490</v>
      </c>
      <c r="G36" s="159">
        <f t="shared" si="8"/>
        <v>680134</v>
      </c>
      <c r="H36" s="159">
        <f t="shared" si="8"/>
        <v>1686129</v>
      </c>
      <c r="I36" s="159">
        <f t="shared" si="8"/>
        <v>2191926</v>
      </c>
      <c r="J36" s="141">
        <f t="shared" si="4"/>
        <v>791661.14285714284</v>
      </c>
    </row>
    <row r="37" spans="1:10" s="2" customFormat="1" ht="13.8">
      <c r="A37" s="132" t="s">
        <v>114</v>
      </c>
      <c r="B37" s="139" t="s">
        <v>1</v>
      </c>
      <c r="C37" s="139" t="s">
        <v>1</v>
      </c>
      <c r="D37" s="139">
        <v>1244</v>
      </c>
      <c r="E37" s="139">
        <v>21177</v>
      </c>
      <c r="F37" s="157">
        <v>83798</v>
      </c>
      <c r="G37" s="157">
        <v>47797</v>
      </c>
      <c r="H37" s="157">
        <v>74409</v>
      </c>
      <c r="I37" s="157">
        <v>66995</v>
      </c>
      <c r="J37" s="141">
        <f t="shared" si="4"/>
        <v>49236.666666666664</v>
      </c>
    </row>
    <row r="38" spans="1:10" s="2" customFormat="1" ht="13.8">
      <c r="A38" s="124" t="s">
        <v>139</v>
      </c>
      <c r="B38" s="139" t="s">
        <v>1</v>
      </c>
      <c r="C38" s="139" t="s">
        <v>1</v>
      </c>
      <c r="D38" s="139" t="s">
        <v>1</v>
      </c>
      <c r="E38" s="139" t="s">
        <v>1</v>
      </c>
      <c r="F38" s="157" t="s">
        <v>1</v>
      </c>
      <c r="G38" s="157" t="s">
        <v>1</v>
      </c>
      <c r="H38" s="157" t="s">
        <v>1</v>
      </c>
      <c r="I38" s="157" t="s">
        <v>1</v>
      </c>
      <c r="J38" s="141"/>
    </row>
    <row r="39" spans="1:10" s="2" customFormat="1" ht="13.8">
      <c r="A39" s="132" t="s">
        <v>115</v>
      </c>
      <c r="B39" s="139" t="s">
        <v>1</v>
      </c>
      <c r="C39" s="139">
        <v>60497</v>
      </c>
      <c r="D39" s="139">
        <v>34983</v>
      </c>
      <c r="E39" s="139">
        <v>163047</v>
      </c>
      <c r="F39" s="157">
        <v>273036</v>
      </c>
      <c r="G39" s="157">
        <v>512000</v>
      </c>
      <c r="H39" s="157">
        <v>314013</v>
      </c>
      <c r="I39" s="158">
        <v>937085</v>
      </c>
      <c r="J39" s="141">
        <f t="shared" si="4"/>
        <v>327808.71428571426</v>
      </c>
    </row>
    <row r="40" spans="1:10" s="2" customFormat="1" ht="13.8">
      <c r="A40" s="132" t="s">
        <v>116</v>
      </c>
      <c r="B40" s="139" t="s">
        <v>1</v>
      </c>
      <c r="C40" s="139" t="s">
        <v>1</v>
      </c>
      <c r="D40" s="139">
        <v>954</v>
      </c>
      <c r="E40" s="139">
        <v>11447</v>
      </c>
      <c r="F40" s="157">
        <v>37888</v>
      </c>
      <c r="G40" s="157">
        <v>116609</v>
      </c>
      <c r="H40" s="157">
        <v>207672</v>
      </c>
      <c r="I40" s="158">
        <v>413505</v>
      </c>
      <c r="J40" s="141">
        <f t="shared" si="4"/>
        <v>131345.83333333334</v>
      </c>
    </row>
    <row r="41" spans="1:10" s="2" customFormat="1" ht="13.8">
      <c r="A41" s="132" t="s">
        <v>152</v>
      </c>
      <c r="B41" s="139" t="s">
        <v>1</v>
      </c>
      <c r="C41" s="139">
        <v>4708</v>
      </c>
      <c r="D41" s="139">
        <v>84864</v>
      </c>
      <c r="E41" s="139">
        <v>197393</v>
      </c>
      <c r="F41" s="157">
        <v>65100</v>
      </c>
      <c r="G41" s="157">
        <v>110257</v>
      </c>
      <c r="H41" s="157">
        <v>401902</v>
      </c>
      <c r="I41" s="158">
        <v>480782</v>
      </c>
      <c r="J41" s="141">
        <f t="shared" si="4"/>
        <v>192143.71428571429</v>
      </c>
    </row>
    <row r="42" spans="1:10" s="2" customFormat="1" ht="13.8">
      <c r="A42" s="132" t="s">
        <v>148</v>
      </c>
      <c r="B42" s="139" t="s">
        <v>1</v>
      </c>
      <c r="C42" s="139">
        <v>65857</v>
      </c>
      <c r="D42" s="139">
        <v>26840</v>
      </c>
      <c r="E42" s="139">
        <v>169882</v>
      </c>
      <c r="F42" s="157">
        <v>413987</v>
      </c>
      <c r="G42" s="157">
        <v>442126</v>
      </c>
      <c r="H42" s="157">
        <v>842246</v>
      </c>
      <c r="I42" s="158">
        <v>1665635</v>
      </c>
      <c r="J42" s="141">
        <f t="shared" si="4"/>
        <v>518081.85714285716</v>
      </c>
    </row>
    <row r="43" spans="1:10" s="2" customFormat="1" thickBot="1">
      <c r="A43" s="134" t="s">
        <v>132</v>
      </c>
      <c r="B43" s="139" t="s">
        <v>1</v>
      </c>
      <c r="C43" s="139">
        <v>52680</v>
      </c>
      <c r="D43" s="139">
        <v>19016</v>
      </c>
      <c r="E43" s="139">
        <v>138132</v>
      </c>
      <c r="F43" s="157">
        <v>325397</v>
      </c>
      <c r="G43" s="157">
        <v>324887</v>
      </c>
      <c r="H43" s="157">
        <v>666866</v>
      </c>
      <c r="I43" s="158">
        <v>1239361</v>
      </c>
      <c r="J43" s="141">
        <f t="shared" si="4"/>
        <v>395191.28571428574</v>
      </c>
    </row>
  </sheetData>
  <mergeCells count="10">
    <mergeCell ref="J1:J2"/>
    <mergeCell ref="I1:I2"/>
    <mergeCell ref="G1:G2"/>
    <mergeCell ref="H1:H2"/>
    <mergeCell ref="F1:F2"/>
    <mergeCell ref="D1:D2"/>
    <mergeCell ref="E1:E2"/>
    <mergeCell ref="C1:C2"/>
    <mergeCell ref="A1:A2"/>
    <mergeCell ref="B1:B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E0C39-C350-4BCB-8CB3-0607FE1E520C}">
  <dimension ref="B1:AI81"/>
  <sheetViews>
    <sheetView showGridLines="0" zoomScale="70" zoomScaleNormal="70" workbookViewId="0">
      <selection activeCell="F45" sqref="F45"/>
    </sheetView>
  </sheetViews>
  <sheetFormatPr defaultRowHeight="13.8"/>
  <cols>
    <col min="1" max="1" width="2.77734375" style="2" customWidth="1"/>
    <col min="2" max="2" width="11.44140625" style="2" customWidth="1"/>
    <col min="3" max="10" width="13.21875" style="2" customWidth="1"/>
    <col min="11" max="11" width="6.33203125" style="2" bestFit="1" customWidth="1"/>
    <col min="12" max="12" width="11.33203125" style="2" bestFit="1" customWidth="1"/>
    <col min="13" max="20" width="10.77734375" style="2" customWidth="1"/>
    <col min="21" max="21" width="4.44140625" style="2" bestFit="1" customWidth="1"/>
    <col min="22" max="26" width="5.44140625" style="2" bestFit="1" customWidth="1"/>
    <col min="27" max="27" width="11.5546875" style="2" customWidth="1"/>
    <col min="28" max="35" width="10.44140625" style="2" bestFit="1" customWidth="1"/>
    <col min="36" max="16384" width="8.88671875" style="2"/>
  </cols>
  <sheetData>
    <row r="1" spans="2:31">
      <c r="B1" s="318" t="s">
        <v>185</v>
      </c>
      <c r="C1" s="318"/>
      <c r="D1" s="318"/>
      <c r="E1" s="307"/>
    </row>
    <row r="2" spans="2:31" ht="14.4" thickBot="1">
      <c r="B2" s="208"/>
      <c r="C2" s="208"/>
      <c r="D2" s="208"/>
      <c r="E2" s="208"/>
      <c r="F2" s="208"/>
      <c r="G2" s="208"/>
      <c r="H2" s="349" t="s">
        <v>127</v>
      </c>
      <c r="I2" s="349" t="s">
        <v>127</v>
      </c>
      <c r="J2" s="349"/>
      <c r="L2" s="208"/>
      <c r="M2" s="208"/>
      <c r="N2" s="208"/>
      <c r="O2" s="208"/>
      <c r="P2" s="208"/>
      <c r="Q2" s="208"/>
      <c r="R2" s="349" t="s">
        <v>238</v>
      </c>
      <c r="S2" s="349" t="s">
        <v>127</v>
      </c>
      <c r="T2" s="349"/>
    </row>
    <row r="3" spans="2:31">
      <c r="B3" s="209"/>
      <c r="C3" s="210">
        <v>2014</v>
      </c>
      <c r="D3" s="210">
        <v>2015</v>
      </c>
      <c r="E3" s="210">
        <v>2016</v>
      </c>
      <c r="F3" s="210">
        <v>2017</v>
      </c>
      <c r="G3" s="210">
        <v>2018</v>
      </c>
      <c r="H3" s="210">
        <v>2019</v>
      </c>
      <c r="I3" s="210">
        <v>2020</v>
      </c>
      <c r="J3" s="211">
        <v>2021</v>
      </c>
      <c r="L3" s="209"/>
      <c r="M3" s="210">
        <v>2014</v>
      </c>
      <c r="N3" s="210">
        <v>2015</v>
      </c>
      <c r="O3" s="210">
        <v>2016</v>
      </c>
      <c r="P3" s="210">
        <v>2017</v>
      </c>
      <c r="Q3" s="210">
        <v>2018</v>
      </c>
      <c r="R3" s="210">
        <v>2019</v>
      </c>
      <c r="S3" s="210">
        <v>2020</v>
      </c>
      <c r="T3" s="211">
        <v>2021</v>
      </c>
    </row>
    <row r="4" spans="2:31">
      <c r="B4" s="200" t="s">
        <v>187</v>
      </c>
      <c r="C4" s="212">
        <v>1790927</v>
      </c>
      <c r="D4" s="212">
        <v>2103914</v>
      </c>
      <c r="E4" s="212">
        <v>2279593</v>
      </c>
      <c r="F4" s="212">
        <v>2481506</v>
      </c>
      <c r="G4" s="212">
        <v>3261451</v>
      </c>
      <c r="H4" s="212">
        <v>3821929</v>
      </c>
      <c r="I4" s="212">
        <v>4044227</v>
      </c>
      <c r="J4" s="213">
        <v>4626853</v>
      </c>
      <c r="L4" s="200" t="s">
        <v>187</v>
      </c>
      <c r="M4" s="212">
        <f t="shared" ref="M4:T6" si="0">C4/1000</f>
        <v>1790.9269999999999</v>
      </c>
      <c r="N4" s="212">
        <f t="shared" si="0"/>
        <v>2103.9140000000002</v>
      </c>
      <c r="O4" s="212">
        <f t="shared" si="0"/>
        <v>2279.5929999999998</v>
      </c>
      <c r="P4" s="212">
        <f t="shared" si="0"/>
        <v>2481.5059999999999</v>
      </c>
      <c r="Q4" s="212">
        <f t="shared" si="0"/>
        <v>3261.451</v>
      </c>
      <c r="R4" s="212">
        <f t="shared" si="0"/>
        <v>3821.9290000000001</v>
      </c>
      <c r="S4" s="212">
        <f t="shared" si="0"/>
        <v>4044.2269999999999</v>
      </c>
      <c r="T4" s="212">
        <f t="shared" si="0"/>
        <v>4626.8530000000001</v>
      </c>
    </row>
    <row r="5" spans="2:31">
      <c r="B5" s="200" t="s">
        <v>188</v>
      </c>
      <c r="C5" s="212">
        <v>3022870</v>
      </c>
      <c r="D5" s="212">
        <v>3402490</v>
      </c>
      <c r="E5" s="212">
        <v>3912064</v>
      </c>
      <c r="F5" s="212">
        <v>4591151</v>
      </c>
      <c r="G5" s="212">
        <v>5438553</v>
      </c>
      <c r="H5" s="212">
        <v>6821290</v>
      </c>
      <c r="I5" s="212">
        <v>7995097</v>
      </c>
      <c r="J5" s="213">
        <v>10456853</v>
      </c>
      <c r="L5" s="200" t="s">
        <v>188</v>
      </c>
      <c r="M5" s="212">
        <f t="shared" si="0"/>
        <v>3022.87</v>
      </c>
      <c r="N5" s="212">
        <f t="shared" si="0"/>
        <v>3402.49</v>
      </c>
      <c r="O5" s="212">
        <f t="shared" si="0"/>
        <v>3912.0639999999999</v>
      </c>
      <c r="P5" s="212">
        <f t="shared" si="0"/>
        <v>4591.1509999999998</v>
      </c>
      <c r="Q5" s="212">
        <f t="shared" si="0"/>
        <v>5438.5529999999999</v>
      </c>
      <c r="R5" s="212">
        <f t="shared" si="0"/>
        <v>6821.29</v>
      </c>
      <c r="S5" s="212">
        <f t="shared" si="0"/>
        <v>7995.0969999999998</v>
      </c>
      <c r="T5" s="212">
        <f t="shared" si="0"/>
        <v>10456.852999999999</v>
      </c>
    </row>
    <row r="6" spans="2:31">
      <c r="B6" s="200" t="s">
        <v>189</v>
      </c>
      <c r="C6" s="212">
        <v>3153847</v>
      </c>
      <c r="D6" s="212">
        <v>3356757</v>
      </c>
      <c r="E6" s="212">
        <v>3663014</v>
      </c>
      <c r="F6" s="212">
        <v>4060598</v>
      </c>
      <c r="G6" s="212">
        <v>4323181</v>
      </c>
      <c r="H6" s="212">
        <v>4827079</v>
      </c>
      <c r="I6" s="212">
        <v>5495302</v>
      </c>
      <c r="J6" s="213">
        <v>6556794</v>
      </c>
      <c r="L6" s="200" t="s">
        <v>189</v>
      </c>
      <c r="M6" s="212">
        <f t="shared" si="0"/>
        <v>3153.8470000000002</v>
      </c>
      <c r="N6" s="212">
        <f t="shared" si="0"/>
        <v>3356.7570000000001</v>
      </c>
      <c r="O6" s="212">
        <f t="shared" si="0"/>
        <v>3663.0140000000001</v>
      </c>
      <c r="P6" s="212">
        <f t="shared" si="0"/>
        <v>4060.598</v>
      </c>
      <c r="Q6" s="212">
        <f t="shared" si="0"/>
        <v>4323.1809999999996</v>
      </c>
      <c r="R6" s="212">
        <f t="shared" si="0"/>
        <v>4827.0789999999997</v>
      </c>
      <c r="S6" s="212">
        <f t="shared" si="0"/>
        <v>5495.3019999999997</v>
      </c>
      <c r="T6" s="212">
        <f t="shared" si="0"/>
        <v>6556.7939999999999</v>
      </c>
    </row>
    <row r="7" spans="2:31">
      <c r="B7" s="200" t="s">
        <v>190</v>
      </c>
      <c r="C7" s="212"/>
      <c r="D7" s="212"/>
      <c r="E7" s="212">
        <v>764621</v>
      </c>
      <c r="F7" s="212">
        <v>1403681</v>
      </c>
      <c r="G7" s="212">
        <v>2544897</v>
      </c>
      <c r="H7" s="212">
        <v>3166828</v>
      </c>
      <c r="I7" s="212">
        <v>3734273</v>
      </c>
      <c r="J7" s="213">
        <v>4321735</v>
      </c>
      <c r="L7" s="200" t="s">
        <v>190</v>
      </c>
      <c r="M7" s="273"/>
      <c r="N7" s="303"/>
      <c r="O7" s="303">
        <f t="shared" ref="O7:T8" si="1">E7/1000</f>
        <v>764.62099999999998</v>
      </c>
      <c r="P7" s="303">
        <f t="shared" si="1"/>
        <v>1403.681</v>
      </c>
      <c r="Q7" s="303">
        <f t="shared" si="1"/>
        <v>2544.8969999999999</v>
      </c>
      <c r="R7" s="303">
        <f t="shared" si="1"/>
        <v>3166.828</v>
      </c>
      <c r="S7" s="212">
        <f t="shared" si="1"/>
        <v>3734.2730000000001</v>
      </c>
      <c r="T7" s="212">
        <f t="shared" si="1"/>
        <v>4321.7349999999997</v>
      </c>
    </row>
    <row r="8" spans="2:31">
      <c r="B8" s="200" t="s">
        <v>191</v>
      </c>
      <c r="C8" s="212"/>
      <c r="D8" s="212"/>
      <c r="E8" s="212"/>
      <c r="F8" s="212">
        <v>1107885</v>
      </c>
      <c r="G8" s="212">
        <v>1527226</v>
      </c>
      <c r="H8" s="212">
        <v>1960693</v>
      </c>
      <c r="I8" s="212">
        <v>4798566</v>
      </c>
      <c r="J8" s="213">
        <v>8619719</v>
      </c>
      <c r="L8" s="200" t="s">
        <v>191</v>
      </c>
      <c r="M8" s="273"/>
      <c r="N8" s="303"/>
      <c r="O8" s="303"/>
      <c r="P8" s="303">
        <f t="shared" si="1"/>
        <v>1107.885</v>
      </c>
      <c r="Q8" s="303">
        <f t="shared" si="1"/>
        <v>1527.2260000000001</v>
      </c>
      <c r="R8" s="303">
        <f t="shared" si="1"/>
        <v>1960.693</v>
      </c>
      <c r="S8" s="212">
        <f t="shared" si="1"/>
        <v>4798.5659999999998</v>
      </c>
      <c r="T8" s="212">
        <f t="shared" si="1"/>
        <v>8619.7189999999991</v>
      </c>
    </row>
    <row r="9" spans="2:31">
      <c r="B9" s="200" t="s">
        <v>192</v>
      </c>
      <c r="C9" s="212"/>
      <c r="D9" s="212"/>
      <c r="E9" s="212"/>
      <c r="F9" s="212"/>
      <c r="G9" s="212"/>
      <c r="H9" s="212"/>
      <c r="I9" s="212">
        <v>1539266</v>
      </c>
      <c r="J9" s="213">
        <v>1728423</v>
      </c>
      <c r="L9" s="200" t="s">
        <v>192</v>
      </c>
      <c r="M9" s="273"/>
      <c r="N9" s="304"/>
      <c r="O9" s="304"/>
      <c r="P9" s="304"/>
      <c r="Q9" s="303"/>
      <c r="R9" s="303"/>
      <c r="S9" s="212">
        <f>I9/1000</f>
        <v>1539.2660000000001</v>
      </c>
      <c r="T9" s="212">
        <f>J9/1000</f>
        <v>1728.423</v>
      </c>
    </row>
    <row r="10" spans="2:31">
      <c r="B10" s="201" t="s">
        <v>0</v>
      </c>
      <c r="C10" s="203">
        <f>SUM(C4:C9)</f>
        <v>7967644</v>
      </c>
      <c r="D10" s="203">
        <f t="shared" ref="D10:I10" si="2">SUM(D4:D9)</f>
        <v>8863161</v>
      </c>
      <c r="E10" s="203">
        <f t="shared" si="2"/>
        <v>10619292</v>
      </c>
      <c r="F10" s="203">
        <f t="shared" si="2"/>
        <v>13644821</v>
      </c>
      <c r="G10" s="203">
        <f t="shared" si="2"/>
        <v>17095308</v>
      </c>
      <c r="H10" s="203">
        <f t="shared" si="2"/>
        <v>20597819</v>
      </c>
      <c r="I10" s="203">
        <f t="shared" si="2"/>
        <v>27606731</v>
      </c>
      <c r="J10" s="204">
        <f>SUM(J4:J9)</f>
        <v>36310377</v>
      </c>
      <c r="L10" s="201" t="s">
        <v>0</v>
      </c>
      <c r="M10" s="203">
        <f>SUM(M4:M9)</f>
        <v>7967.6440000000002</v>
      </c>
      <c r="N10" s="203">
        <f t="shared" ref="N10:S10" si="3">SUM(N4:N9)</f>
        <v>8863.1610000000001</v>
      </c>
      <c r="O10" s="203">
        <f t="shared" si="3"/>
        <v>10619.291999999998</v>
      </c>
      <c r="P10" s="203">
        <f t="shared" si="3"/>
        <v>13644.821</v>
      </c>
      <c r="Q10" s="203">
        <f t="shared" si="3"/>
        <v>17095.308000000001</v>
      </c>
      <c r="R10" s="203">
        <f t="shared" si="3"/>
        <v>20597.819</v>
      </c>
      <c r="S10" s="203">
        <f t="shared" si="3"/>
        <v>27606.731</v>
      </c>
      <c r="T10" s="204">
        <f>SUM(T4:T9)</f>
        <v>36310.377</v>
      </c>
    </row>
    <row r="11" spans="2:31" ht="14.4" thickBot="1">
      <c r="B11" s="202" t="s">
        <v>129</v>
      </c>
      <c r="C11" s="205"/>
      <c r="D11" s="206">
        <f>(D10/C10)-1</f>
        <v>0.11239420335547123</v>
      </c>
      <c r="E11" s="206">
        <f t="shared" ref="E11:J11" si="4">(E10/D10)-1</f>
        <v>0.19813822630549072</v>
      </c>
      <c r="F11" s="206">
        <f t="shared" si="4"/>
        <v>0.28490873026186669</v>
      </c>
      <c r="G11" s="206">
        <f t="shared" si="4"/>
        <v>0.25287887616847438</v>
      </c>
      <c r="H11" s="206">
        <f t="shared" si="4"/>
        <v>0.20488142126482889</v>
      </c>
      <c r="I11" s="206">
        <f t="shared" si="4"/>
        <v>0.34027447274878964</v>
      </c>
      <c r="J11" s="207">
        <f t="shared" si="4"/>
        <v>0.31527260507591426</v>
      </c>
      <c r="L11" s="202" t="s">
        <v>129</v>
      </c>
      <c r="M11" s="205"/>
      <c r="N11" s="206">
        <f>(N10/M10)-1</f>
        <v>0.11239420335547123</v>
      </c>
      <c r="O11" s="206">
        <f t="shared" ref="O11" si="5">(O10/N10)-1</f>
        <v>0.19813822630549049</v>
      </c>
      <c r="P11" s="206">
        <f t="shared" ref="P11" si="6">(P10/O10)-1</f>
        <v>0.28490873026186714</v>
      </c>
      <c r="Q11" s="206">
        <f t="shared" ref="Q11" si="7">(Q10/P10)-1</f>
        <v>0.2528788761684746</v>
      </c>
      <c r="R11" s="206">
        <f t="shared" ref="R11" si="8">(R10/Q10)-1</f>
        <v>0.20488142126482889</v>
      </c>
      <c r="S11" s="206">
        <f t="shared" ref="S11" si="9">(S10/R10)-1</f>
        <v>0.34027447274878964</v>
      </c>
      <c r="T11" s="207">
        <f t="shared" ref="T11" si="10">(T10/S10)-1</f>
        <v>0.31527260507591426</v>
      </c>
    </row>
    <row r="12" spans="2:31" ht="27" thickBot="1">
      <c r="B12" s="249" t="s">
        <v>169</v>
      </c>
      <c r="C12" s="214">
        <v>222331543</v>
      </c>
      <c r="D12" s="214">
        <v>251613646</v>
      </c>
      <c r="E12" s="214">
        <v>288788997.99742717</v>
      </c>
      <c r="F12" s="214">
        <v>345030883</v>
      </c>
      <c r="G12" s="214">
        <v>405257916</v>
      </c>
      <c r="H12" s="214">
        <v>470409822</v>
      </c>
      <c r="I12" s="214">
        <v>571983642</v>
      </c>
      <c r="J12" s="215">
        <v>677635517</v>
      </c>
      <c r="L12" s="249" t="s">
        <v>169</v>
      </c>
      <c r="M12" s="214">
        <f t="shared" ref="M12:T12" si="11">C12/1000</f>
        <v>222331.54300000001</v>
      </c>
      <c r="N12" s="214">
        <f t="shared" si="11"/>
        <v>251613.64600000001</v>
      </c>
      <c r="O12" s="214">
        <f t="shared" si="11"/>
        <v>288788.99799742718</v>
      </c>
      <c r="P12" s="214">
        <f t="shared" si="11"/>
        <v>345030.88299999997</v>
      </c>
      <c r="Q12" s="214">
        <f t="shared" si="11"/>
        <v>405257.91600000003</v>
      </c>
      <c r="R12" s="214">
        <f t="shared" si="11"/>
        <v>470409.82199999999</v>
      </c>
      <c r="S12" s="214">
        <f t="shared" si="11"/>
        <v>571983.64199999999</v>
      </c>
      <c r="T12" s="214">
        <f t="shared" si="11"/>
        <v>677635.51699999999</v>
      </c>
    </row>
    <row r="13" spans="2:31" ht="14.4" thickBot="1">
      <c r="B13" s="202" t="s">
        <v>129</v>
      </c>
      <c r="C13" s="205"/>
      <c r="D13" s="206">
        <f>(D12/C12)-1</f>
        <v>0.13170467224257054</v>
      </c>
      <c r="E13" s="206">
        <f t="shared" ref="E13:J13" si="12">(E12/D12)-1</f>
        <v>0.14774775767697101</v>
      </c>
      <c r="F13" s="206">
        <f t="shared" si="12"/>
        <v>0.1947507882660886</v>
      </c>
      <c r="G13" s="206">
        <f t="shared" si="12"/>
        <v>0.17455548464628312</v>
      </c>
      <c r="H13" s="206">
        <f t="shared" si="12"/>
        <v>0.16076652281852044</v>
      </c>
      <c r="I13" s="206">
        <f t="shared" si="12"/>
        <v>0.21592623123417698</v>
      </c>
      <c r="J13" s="207">
        <f t="shared" si="12"/>
        <v>0.18471135753214418</v>
      </c>
      <c r="L13" s="202" t="s">
        <v>129</v>
      </c>
      <c r="M13" s="205"/>
      <c r="N13" s="206">
        <f>(N12/M12)-1</f>
        <v>0.13170467224257054</v>
      </c>
      <c r="O13" s="206">
        <f t="shared" ref="O13:T13" si="13">(O12/N12)-1</f>
        <v>0.14774775767697101</v>
      </c>
      <c r="P13" s="206">
        <f t="shared" si="13"/>
        <v>0.19475078826608838</v>
      </c>
      <c r="Q13" s="206">
        <f t="shared" si="13"/>
        <v>0.17455548464628334</v>
      </c>
      <c r="R13" s="206">
        <f t="shared" si="13"/>
        <v>0.16076652281852022</v>
      </c>
      <c r="S13" s="206">
        <f t="shared" si="13"/>
        <v>0.21592623123417698</v>
      </c>
      <c r="T13" s="207">
        <f t="shared" si="13"/>
        <v>0.18471135753214418</v>
      </c>
    </row>
    <row r="14" spans="2:31">
      <c r="B14" s="348"/>
      <c r="C14" s="348"/>
      <c r="D14" s="348"/>
      <c r="E14" s="348"/>
      <c r="F14" s="348"/>
      <c r="G14" s="348"/>
      <c r="H14" s="348"/>
      <c r="I14" s="175"/>
      <c r="J14" s="175"/>
    </row>
    <row r="15" spans="2:31">
      <c r="B15" s="180"/>
      <c r="C15" s="180"/>
      <c r="D15" s="180"/>
      <c r="E15" s="180"/>
      <c r="F15" s="180"/>
      <c r="G15" s="180"/>
      <c r="H15" s="180"/>
      <c r="I15" s="181"/>
      <c r="J15" s="181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</row>
    <row r="16" spans="2:31">
      <c r="B16" s="318" t="s">
        <v>186</v>
      </c>
      <c r="C16" s="318"/>
      <c r="D16" s="318"/>
      <c r="E16" s="307"/>
    </row>
    <row r="17" spans="2:32" ht="15" customHeight="1" thickBot="1">
      <c r="B17" s="208"/>
      <c r="C17" s="208"/>
      <c r="D17" s="208"/>
      <c r="E17" s="208"/>
      <c r="F17" s="208"/>
      <c r="G17" s="208"/>
      <c r="H17" s="349" t="s">
        <v>127</v>
      </c>
      <c r="I17" s="349" t="s">
        <v>127</v>
      </c>
      <c r="J17" s="349"/>
      <c r="R17" s="349" t="s">
        <v>238</v>
      </c>
      <c r="S17" s="349" t="s">
        <v>127</v>
      </c>
      <c r="T17" s="349"/>
    </row>
    <row r="18" spans="2:32">
      <c r="B18" s="209"/>
      <c r="C18" s="210">
        <v>2014</v>
      </c>
      <c r="D18" s="210">
        <v>2015</v>
      </c>
      <c r="E18" s="210">
        <v>2016</v>
      </c>
      <c r="F18" s="210">
        <v>2017</v>
      </c>
      <c r="G18" s="210">
        <v>2018</v>
      </c>
      <c r="H18" s="210">
        <v>2019</v>
      </c>
      <c r="I18" s="210">
        <v>2020</v>
      </c>
      <c r="J18" s="211">
        <v>2021</v>
      </c>
      <c r="L18" s="209"/>
      <c r="M18" s="210">
        <v>2014</v>
      </c>
      <c r="N18" s="210">
        <v>2015</v>
      </c>
      <c r="O18" s="210">
        <v>2016</v>
      </c>
      <c r="P18" s="210">
        <v>2017</v>
      </c>
      <c r="Q18" s="210">
        <v>2018</v>
      </c>
      <c r="R18" s="210">
        <v>2019</v>
      </c>
      <c r="S18" s="210">
        <v>2020</v>
      </c>
      <c r="T18" s="211">
        <v>2021</v>
      </c>
    </row>
    <row r="19" spans="2:32">
      <c r="B19" s="200" t="s">
        <v>187</v>
      </c>
      <c r="C19" s="212">
        <v>23046424</v>
      </c>
      <c r="D19" s="212">
        <v>29561999</v>
      </c>
      <c r="E19" s="212">
        <v>32850738</v>
      </c>
      <c r="F19" s="212">
        <v>36229077</v>
      </c>
      <c r="G19" s="212">
        <v>42223652</v>
      </c>
      <c r="H19" s="212">
        <v>51392368</v>
      </c>
      <c r="I19" s="212">
        <v>69315799</v>
      </c>
      <c r="J19" s="213">
        <v>108955123</v>
      </c>
      <c r="L19" s="200" t="s">
        <v>187</v>
      </c>
      <c r="M19" s="212">
        <f t="shared" ref="M19:T21" si="14">C19/1000</f>
        <v>23046.423999999999</v>
      </c>
      <c r="N19" s="212">
        <f t="shared" si="14"/>
        <v>29561.999</v>
      </c>
      <c r="O19" s="212">
        <f t="shared" si="14"/>
        <v>32850.737999999998</v>
      </c>
      <c r="P19" s="212">
        <f t="shared" si="14"/>
        <v>36229.076999999997</v>
      </c>
      <c r="Q19" s="212">
        <f t="shared" si="14"/>
        <v>42223.652000000002</v>
      </c>
      <c r="R19" s="212">
        <f t="shared" si="14"/>
        <v>51392.368000000002</v>
      </c>
      <c r="S19" s="212">
        <f t="shared" si="14"/>
        <v>69315.798999999999</v>
      </c>
      <c r="T19" s="212">
        <f t="shared" si="14"/>
        <v>108955.12300000001</v>
      </c>
    </row>
    <row r="20" spans="2:32">
      <c r="B20" s="200" t="s">
        <v>188</v>
      </c>
      <c r="C20" s="212">
        <v>33543583</v>
      </c>
      <c r="D20" s="212">
        <v>42052507</v>
      </c>
      <c r="E20" s="212">
        <v>48476955</v>
      </c>
      <c r="F20" s="212">
        <v>57123095</v>
      </c>
      <c r="G20" s="212">
        <v>74232325</v>
      </c>
      <c r="H20" s="212">
        <v>104439345</v>
      </c>
      <c r="I20" s="212">
        <v>152290315</v>
      </c>
      <c r="J20" s="213">
        <v>254068260</v>
      </c>
      <c r="L20" s="200" t="s">
        <v>188</v>
      </c>
      <c r="M20" s="212">
        <f t="shared" si="14"/>
        <v>33543.582999999999</v>
      </c>
      <c r="N20" s="212">
        <f t="shared" si="14"/>
        <v>42052.506999999998</v>
      </c>
      <c r="O20" s="212">
        <f t="shared" si="14"/>
        <v>48476.955000000002</v>
      </c>
      <c r="P20" s="212">
        <f t="shared" si="14"/>
        <v>57123.095000000001</v>
      </c>
      <c r="Q20" s="212">
        <f t="shared" si="14"/>
        <v>74232.324999999997</v>
      </c>
      <c r="R20" s="212">
        <f t="shared" si="14"/>
        <v>104439.345</v>
      </c>
      <c r="S20" s="212">
        <f t="shared" si="14"/>
        <v>152290.315</v>
      </c>
      <c r="T20" s="212">
        <f t="shared" si="14"/>
        <v>254068.26</v>
      </c>
    </row>
    <row r="21" spans="2:32">
      <c r="B21" s="200" t="s">
        <v>189</v>
      </c>
      <c r="C21" s="212">
        <v>33494790</v>
      </c>
      <c r="D21" s="212">
        <v>38576299</v>
      </c>
      <c r="E21" s="212">
        <v>38807717</v>
      </c>
      <c r="F21" s="212">
        <v>39080897</v>
      </c>
      <c r="G21" s="212">
        <v>47052484</v>
      </c>
      <c r="H21" s="212">
        <v>52427410</v>
      </c>
      <c r="I21" s="212">
        <v>81370822</v>
      </c>
      <c r="J21" s="213">
        <v>115643263</v>
      </c>
      <c r="L21" s="200" t="s">
        <v>189</v>
      </c>
      <c r="M21" s="212">
        <f t="shared" si="14"/>
        <v>33494.79</v>
      </c>
      <c r="N21" s="212">
        <f t="shared" si="14"/>
        <v>38576.298999999999</v>
      </c>
      <c r="O21" s="212">
        <f t="shared" si="14"/>
        <v>38807.716999999997</v>
      </c>
      <c r="P21" s="212">
        <f t="shared" si="14"/>
        <v>39080.896999999997</v>
      </c>
      <c r="Q21" s="212">
        <f t="shared" si="14"/>
        <v>47052.483999999997</v>
      </c>
      <c r="R21" s="212">
        <f t="shared" si="14"/>
        <v>52427.41</v>
      </c>
      <c r="S21" s="212">
        <f t="shared" si="14"/>
        <v>81370.822</v>
      </c>
      <c r="T21" s="212">
        <f t="shared" si="14"/>
        <v>115643.26300000001</v>
      </c>
    </row>
    <row r="22" spans="2:32">
      <c r="B22" s="200" t="s">
        <v>190</v>
      </c>
      <c r="C22" s="212"/>
      <c r="D22" s="212"/>
      <c r="E22" s="212">
        <v>7959507</v>
      </c>
      <c r="F22" s="212">
        <v>14350143</v>
      </c>
      <c r="G22" s="212">
        <v>25477356</v>
      </c>
      <c r="H22" s="212">
        <v>36392174</v>
      </c>
      <c r="I22" s="212">
        <v>60186996</v>
      </c>
      <c r="J22" s="213">
        <v>98312592</v>
      </c>
      <c r="L22" s="200" t="s">
        <v>190</v>
      </c>
      <c r="M22" s="212"/>
      <c r="N22" s="303"/>
      <c r="O22" s="303">
        <f t="shared" ref="O22:T23" si="15">E22/1000</f>
        <v>7959.5069999999996</v>
      </c>
      <c r="P22" s="303">
        <f t="shared" si="15"/>
        <v>14350.143</v>
      </c>
      <c r="Q22" s="303">
        <f t="shared" si="15"/>
        <v>25477.356</v>
      </c>
      <c r="R22" s="303">
        <f t="shared" si="15"/>
        <v>36392.173999999999</v>
      </c>
      <c r="S22" s="212">
        <f t="shared" si="15"/>
        <v>60186.995999999999</v>
      </c>
      <c r="T22" s="212">
        <f t="shared" si="15"/>
        <v>98312.592000000004</v>
      </c>
    </row>
    <row r="23" spans="2:32">
      <c r="B23" s="200" t="s">
        <v>191</v>
      </c>
      <c r="C23" s="212"/>
      <c r="D23" s="212"/>
      <c r="E23" s="212"/>
      <c r="F23" s="212">
        <v>13210145</v>
      </c>
      <c r="G23" s="212">
        <v>20955512</v>
      </c>
      <c r="H23" s="212">
        <v>30348784</v>
      </c>
      <c r="I23" s="212">
        <v>53157628</v>
      </c>
      <c r="J23" s="213">
        <v>100757086</v>
      </c>
      <c r="L23" s="200" t="s">
        <v>191</v>
      </c>
      <c r="M23" s="212"/>
      <c r="N23" s="303"/>
      <c r="O23" s="303"/>
      <c r="P23" s="303">
        <f t="shared" si="15"/>
        <v>13210.145</v>
      </c>
      <c r="Q23" s="303">
        <f t="shared" si="15"/>
        <v>20955.511999999999</v>
      </c>
      <c r="R23" s="303">
        <f t="shared" si="15"/>
        <v>30348.784</v>
      </c>
      <c r="S23" s="212">
        <f t="shared" si="15"/>
        <v>53157.627999999997</v>
      </c>
      <c r="T23" s="212">
        <f t="shared" si="15"/>
        <v>100757.086</v>
      </c>
    </row>
    <row r="24" spans="2:32">
      <c r="B24" s="200" t="s">
        <v>192</v>
      </c>
      <c r="C24" s="212"/>
      <c r="D24" s="212"/>
      <c r="E24" s="212"/>
      <c r="F24" s="212"/>
      <c r="G24" s="212"/>
      <c r="H24" s="212"/>
      <c r="I24" s="212">
        <v>20390177</v>
      </c>
      <c r="J24" s="213">
        <v>38759900</v>
      </c>
      <c r="L24" s="200" t="s">
        <v>192</v>
      </c>
      <c r="M24" s="212"/>
      <c r="N24" s="303"/>
      <c r="O24" s="303"/>
      <c r="P24" s="303"/>
      <c r="Q24" s="303"/>
      <c r="R24" s="303"/>
      <c r="S24" s="212">
        <f>I24/1000</f>
        <v>20390.177</v>
      </c>
      <c r="T24" s="212">
        <f>J24/1000</f>
        <v>38759.9</v>
      </c>
    </row>
    <row r="25" spans="2:32">
      <c r="B25" s="201" t="s">
        <v>0</v>
      </c>
      <c r="C25" s="203">
        <f>SUM(C19:C24)</f>
        <v>90084797</v>
      </c>
      <c r="D25" s="203">
        <f t="shared" ref="D25:J25" si="16">SUM(D19:D24)</f>
        <v>110190805</v>
      </c>
      <c r="E25" s="203">
        <f t="shared" si="16"/>
        <v>128094917</v>
      </c>
      <c r="F25" s="203">
        <f t="shared" si="16"/>
        <v>159993357</v>
      </c>
      <c r="G25" s="203">
        <f t="shared" si="16"/>
        <v>209941329</v>
      </c>
      <c r="H25" s="203">
        <f t="shared" si="16"/>
        <v>275000081</v>
      </c>
      <c r="I25" s="203">
        <f t="shared" si="16"/>
        <v>436711737</v>
      </c>
      <c r="J25" s="203">
        <f t="shared" si="16"/>
        <v>716496224</v>
      </c>
      <c r="L25" s="201" t="s">
        <v>0</v>
      </c>
      <c r="M25" s="203">
        <f>SUM(M19:M24)</f>
        <v>90084.796999999991</v>
      </c>
      <c r="N25" s="203">
        <f t="shared" ref="N25:T25" si="17">SUM(N19:N24)</f>
        <v>110190.80499999999</v>
      </c>
      <c r="O25" s="203">
        <f t="shared" si="17"/>
        <v>128094.917</v>
      </c>
      <c r="P25" s="203">
        <f t="shared" si="17"/>
        <v>159993.35699999999</v>
      </c>
      <c r="Q25" s="203">
        <f t="shared" si="17"/>
        <v>209941.329</v>
      </c>
      <c r="R25" s="203">
        <f t="shared" si="17"/>
        <v>275000.08100000001</v>
      </c>
      <c r="S25" s="203">
        <f t="shared" si="17"/>
        <v>436711.73699999996</v>
      </c>
      <c r="T25" s="203">
        <f t="shared" si="17"/>
        <v>716496.22400000016</v>
      </c>
    </row>
    <row r="26" spans="2:32" ht="14.4" thickBot="1">
      <c r="B26" s="202" t="s">
        <v>129</v>
      </c>
      <c r="C26" s="205"/>
      <c r="D26" s="206">
        <f>(D25/C25)-1</f>
        <v>0.22318980193739013</v>
      </c>
      <c r="E26" s="206">
        <f t="shared" ref="E26" si="18">(E25/D25)-1</f>
        <v>0.16248281333456083</v>
      </c>
      <c r="F26" s="206">
        <f t="shared" ref="F26" si="19">(F25/E25)-1</f>
        <v>0.24902190303148397</v>
      </c>
      <c r="G26" s="206">
        <f t="shared" ref="G26" si="20">(G25/F25)-1</f>
        <v>0.31218778664666691</v>
      </c>
      <c r="H26" s="206">
        <f t="shared" ref="H26" si="21">(H25/G25)-1</f>
        <v>0.30989015983603685</v>
      </c>
      <c r="I26" s="206">
        <f t="shared" ref="I26" si="22">(I25/H25)-1</f>
        <v>0.58804221224938469</v>
      </c>
      <c r="J26" s="207">
        <f t="shared" ref="J26" si="23">(J25/I25)-1</f>
        <v>0.6406617072441998</v>
      </c>
      <c r="L26" s="202" t="s">
        <v>129</v>
      </c>
      <c r="M26" s="205"/>
      <c r="N26" s="206">
        <f>(N25/M25)-1</f>
        <v>0.22318980193739013</v>
      </c>
      <c r="O26" s="206">
        <f t="shared" ref="O26" si="24">(O25/N25)-1</f>
        <v>0.16248281333456105</v>
      </c>
      <c r="P26" s="206">
        <f t="shared" ref="P26" si="25">(P25/O25)-1</f>
        <v>0.24902190303148397</v>
      </c>
      <c r="Q26" s="206">
        <f t="shared" ref="Q26" si="26">(Q25/P25)-1</f>
        <v>0.31218778664666691</v>
      </c>
      <c r="R26" s="206">
        <f t="shared" ref="R26" si="27">(R25/Q25)-1</f>
        <v>0.30989015983603685</v>
      </c>
      <c r="S26" s="206">
        <f t="shared" ref="S26" si="28">(S25/R25)-1</f>
        <v>0.58804221224938469</v>
      </c>
      <c r="T26" s="207">
        <f t="shared" ref="T26" si="29">(T25/S25)-1</f>
        <v>0.64066170724420046</v>
      </c>
    </row>
    <row r="27" spans="2:32" ht="27" thickBot="1">
      <c r="B27" s="249" t="s">
        <v>169</v>
      </c>
      <c r="C27" s="214">
        <v>1888308478</v>
      </c>
      <c r="D27" s="214">
        <v>2235994713.5601697</v>
      </c>
      <c r="E27" s="214">
        <v>2595347984</v>
      </c>
      <c r="F27" s="214">
        <v>3095039170</v>
      </c>
      <c r="G27" s="214">
        <v>3656359182</v>
      </c>
      <c r="H27" s="214">
        <v>4201885172</v>
      </c>
      <c r="I27" s="214">
        <v>5663536186</v>
      </c>
      <c r="J27" s="215">
        <v>8489361144</v>
      </c>
      <c r="L27" s="249" t="s">
        <v>169</v>
      </c>
      <c r="M27" s="214">
        <f t="shared" ref="M27:T27" si="30">C27/1000</f>
        <v>1888308.4779999999</v>
      </c>
      <c r="N27" s="214">
        <f t="shared" si="30"/>
        <v>2235994.7135601696</v>
      </c>
      <c r="O27" s="214">
        <f t="shared" si="30"/>
        <v>2595347.9840000002</v>
      </c>
      <c r="P27" s="214">
        <f t="shared" si="30"/>
        <v>3095039.17</v>
      </c>
      <c r="Q27" s="214">
        <f t="shared" si="30"/>
        <v>3656359.182</v>
      </c>
      <c r="R27" s="214">
        <f t="shared" si="30"/>
        <v>4201885.1720000003</v>
      </c>
      <c r="S27" s="214">
        <f t="shared" si="30"/>
        <v>5663536.1859999998</v>
      </c>
      <c r="T27" s="214">
        <f t="shared" si="30"/>
        <v>8489361.1439999994</v>
      </c>
    </row>
    <row r="28" spans="2:32" ht="14.4" thickBot="1">
      <c r="B28" s="202" t="s">
        <v>129</v>
      </c>
      <c r="C28" s="205"/>
      <c r="D28" s="206">
        <f>(D27/C27)-1</f>
        <v>0.18412576102418465</v>
      </c>
      <c r="E28" s="206">
        <f t="shared" ref="E28" si="31">(E27/D27)-1</f>
        <v>0.16071293382785545</v>
      </c>
      <c r="F28" s="206">
        <f t="shared" ref="F28" si="32">(F27/E27)-1</f>
        <v>0.19253340557048015</v>
      </c>
      <c r="G28" s="206">
        <f t="shared" ref="G28" si="33">(G27/F27)-1</f>
        <v>0.18136119808784201</v>
      </c>
      <c r="H28" s="206">
        <f t="shared" ref="H28" si="34">(H27/G27)-1</f>
        <v>0.14919923422337344</v>
      </c>
      <c r="I28" s="206">
        <f t="shared" ref="I28" si="35">(I27/H27)-1</f>
        <v>0.34785601085435847</v>
      </c>
      <c r="J28" s="207">
        <f t="shared" ref="J28" si="36">(J27/I27)-1</f>
        <v>0.49895063175994325</v>
      </c>
      <c r="L28" s="202" t="s">
        <v>129</v>
      </c>
      <c r="M28" s="205"/>
      <c r="N28" s="206">
        <f>(N27/M27)-1</f>
        <v>0.18412576102418465</v>
      </c>
      <c r="O28" s="206">
        <f t="shared" ref="O28" si="37">(O27/N27)-1</f>
        <v>0.16071293382785568</v>
      </c>
      <c r="P28" s="206">
        <f t="shared" ref="P28" si="38">(P27/O27)-1</f>
        <v>0.19253340557047993</v>
      </c>
      <c r="Q28" s="206">
        <f t="shared" ref="Q28" si="39">(Q27/P27)-1</f>
        <v>0.18136119808784201</v>
      </c>
      <c r="R28" s="206">
        <f t="shared" ref="R28" si="40">(R27/Q27)-1</f>
        <v>0.14919923422337344</v>
      </c>
      <c r="S28" s="206">
        <f t="shared" ref="S28" si="41">(S27/R27)-1</f>
        <v>0.34785601085435824</v>
      </c>
      <c r="T28" s="207">
        <f t="shared" ref="T28" si="42">(T27/S27)-1</f>
        <v>0.49895063175994325</v>
      </c>
    </row>
    <row r="29" spans="2:32">
      <c r="B29" s="348"/>
      <c r="C29" s="348"/>
      <c r="D29" s="348"/>
      <c r="E29" s="348"/>
      <c r="F29" s="348"/>
      <c r="G29" s="348"/>
      <c r="H29" s="348"/>
    </row>
    <row r="30" spans="2:32">
      <c r="B30" s="180"/>
      <c r="C30" s="180"/>
      <c r="D30" s="180"/>
      <c r="E30" s="180"/>
      <c r="F30" s="180"/>
      <c r="G30" s="180"/>
      <c r="H30" s="180"/>
      <c r="I30" s="181"/>
      <c r="J30" s="181"/>
      <c r="K30" s="179"/>
      <c r="L30" s="179"/>
      <c r="M30" s="179"/>
      <c r="N30" s="179"/>
      <c r="O30" s="179"/>
      <c r="P30" s="179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</row>
    <row r="31" spans="2:32">
      <c r="B31" s="307" t="s">
        <v>193</v>
      </c>
      <c r="C31" s="307"/>
      <c r="D31" s="307"/>
      <c r="E31" s="307"/>
      <c r="F31" s="302"/>
    </row>
    <row r="32" spans="2:32" ht="14.4" thickBot="1">
      <c r="B32" s="208"/>
      <c r="C32" s="208"/>
      <c r="D32" s="208"/>
      <c r="E32" s="208"/>
      <c r="F32" s="208"/>
      <c r="G32" s="208"/>
      <c r="H32" s="349" t="s">
        <v>127</v>
      </c>
      <c r="I32" s="349" t="s">
        <v>127</v>
      </c>
      <c r="J32" s="349"/>
      <c r="R32" s="349" t="s">
        <v>238</v>
      </c>
      <c r="S32" s="349" t="s">
        <v>127</v>
      </c>
      <c r="T32" s="349"/>
    </row>
    <row r="33" spans="2:32">
      <c r="B33" s="209"/>
      <c r="C33" s="210">
        <v>2014</v>
      </c>
      <c r="D33" s="210">
        <v>2015</v>
      </c>
      <c r="E33" s="210">
        <v>2016</v>
      </c>
      <c r="F33" s="210">
        <v>2017</v>
      </c>
      <c r="G33" s="210">
        <v>2018</v>
      </c>
      <c r="H33" s="210">
        <v>2019</v>
      </c>
      <c r="I33" s="210">
        <v>2020</v>
      </c>
      <c r="J33" s="211">
        <v>2021</v>
      </c>
      <c r="L33" s="209"/>
      <c r="M33" s="210">
        <v>2014</v>
      </c>
      <c r="N33" s="210">
        <v>2015</v>
      </c>
      <c r="O33" s="210">
        <v>2016</v>
      </c>
      <c r="P33" s="210">
        <v>2017</v>
      </c>
      <c r="Q33" s="210">
        <v>2018</v>
      </c>
      <c r="R33" s="210">
        <v>2019</v>
      </c>
      <c r="S33" s="210">
        <v>2020</v>
      </c>
      <c r="T33" s="211">
        <v>2021</v>
      </c>
    </row>
    <row r="34" spans="2:32">
      <c r="B34" s="200" t="s">
        <v>187</v>
      </c>
      <c r="C34" s="212">
        <v>15474046</v>
      </c>
      <c r="D34" s="212">
        <v>18557965</v>
      </c>
      <c r="E34" s="212">
        <v>21843075</v>
      </c>
      <c r="F34" s="212">
        <v>24456382</v>
      </c>
      <c r="G34" s="212">
        <v>27062226</v>
      </c>
      <c r="H34" s="212">
        <v>30637243</v>
      </c>
      <c r="I34" s="212">
        <v>42055806</v>
      </c>
      <c r="J34" s="213">
        <v>59304778</v>
      </c>
      <c r="L34" s="200" t="s">
        <v>187</v>
      </c>
      <c r="M34" s="212">
        <f t="shared" ref="M34:T36" si="43">C34/1000</f>
        <v>15474.046</v>
      </c>
      <c r="N34" s="212">
        <f t="shared" si="43"/>
        <v>18557.965</v>
      </c>
      <c r="O34" s="212">
        <f t="shared" si="43"/>
        <v>21843.075000000001</v>
      </c>
      <c r="P34" s="212">
        <f t="shared" si="43"/>
        <v>24456.382000000001</v>
      </c>
      <c r="Q34" s="212">
        <f t="shared" si="43"/>
        <v>27062.225999999999</v>
      </c>
      <c r="R34" s="212">
        <f t="shared" si="43"/>
        <v>30637.242999999999</v>
      </c>
      <c r="S34" s="212">
        <f t="shared" si="43"/>
        <v>42055.805999999997</v>
      </c>
      <c r="T34" s="212">
        <f t="shared" si="43"/>
        <v>59304.777999999998</v>
      </c>
    </row>
    <row r="35" spans="2:32">
      <c r="B35" s="200" t="s">
        <v>188</v>
      </c>
      <c r="C35" s="212">
        <v>20575082</v>
      </c>
      <c r="D35" s="212">
        <v>25851000</v>
      </c>
      <c r="E35" s="212">
        <v>28250102</v>
      </c>
      <c r="F35" s="212">
        <v>35994116</v>
      </c>
      <c r="G35" s="212">
        <v>45348335</v>
      </c>
      <c r="H35" s="212">
        <v>55218449</v>
      </c>
      <c r="I35" s="212">
        <v>74043052</v>
      </c>
      <c r="J35" s="213">
        <v>111440591</v>
      </c>
      <c r="L35" s="200" t="s">
        <v>188</v>
      </c>
      <c r="M35" s="212">
        <f t="shared" si="43"/>
        <v>20575.081999999999</v>
      </c>
      <c r="N35" s="212">
        <f t="shared" si="43"/>
        <v>25851</v>
      </c>
      <c r="O35" s="212">
        <f t="shared" si="43"/>
        <v>28250.101999999999</v>
      </c>
      <c r="P35" s="212">
        <f t="shared" si="43"/>
        <v>35994.116000000002</v>
      </c>
      <c r="Q35" s="212">
        <f t="shared" si="43"/>
        <v>45348.334999999999</v>
      </c>
      <c r="R35" s="212">
        <f t="shared" si="43"/>
        <v>55218.449000000001</v>
      </c>
      <c r="S35" s="212">
        <f t="shared" si="43"/>
        <v>74043.051999999996</v>
      </c>
      <c r="T35" s="212">
        <f t="shared" si="43"/>
        <v>111440.591</v>
      </c>
    </row>
    <row r="36" spans="2:32">
      <c r="B36" s="200" t="s">
        <v>189</v>
      </c>
      <c r="C36" s="212">
        <v>23056422</v>
      </c>
      <c r="D36" s="212">
        <v>27014513</v>
      </c>
      <c r="E36" s="212">
        <v>25599230</v>
      </c>
      <c r="F36" s="212">
        <v>25337819</v>
      </c>
      <c r="G36" s="212">
        <v>30481546</v>
      </c>
      <c r="H36" s="212">
        <v>32582167</v>
      </c>
      <c r="I36" s="212">
        <v>47032268</v>
      </c>
      <c r="J36" s="213">
        <v>60187817</v>
      </c>
      <c r="L36" s="200" t="s">
        <v>189</v>
      </c>
      <c r="M36" s="212">
        <f t="shared" si="43"/>
        <v>23056.421999999999</v>
      </c>
      <c r="N36" s="212">
        <f t="shared" si="43"/>
        <v>27014.512999999999</v>
      </c>
      <c r="O36" s="212">
        <f t="shared" si="43"/>
        <v>25599.23</v>
      </c>
      <c r="P36" s="212">
        <f t="shared" si="43"/>
        <v>25337.819</v>
      </c>
      <c r="Q36" s="212">
        <f t="shared" si="43"/>
        <v>30481.545999999998</v>
      </c>
      <c r="R36" s="212">
        <f t="shared" si="43"/>
        <v>32582.167000000001</v>
      </c>
      <c r="S36" s="212">
        <f t="shared" si="43"/>
        <v>47032.267999999996</v>
      </c>
      <c r="T36" s="212">
        <f t="shared" si="43"/>
        <v>60187.817000000003</v>
      </c>
    </row>
    <row r="37" spans="2:32">
      <c r="B37" s="200" t="s">
        <v>190</v>
      </c>
      <c r="C37" s="212"/>
      <c r="D37" s="212"/>
      <c r="E37" s="212">
        <v>5557942</v>
      </c>
      <c r="F37" s="212">
        <v>11374744</v>
      </c>
      <c r="G37" s="212">
        <v>17243990</v>
      </c>
      <c r="H37" s="212">
        <v>25908664</v>
      </c>
      <c r="I37" s="212">
        <v>38223417</v>
      </c>
      <c r="J37" s="213">
        <v>58588552</v>
      </c>
      <c r="L37" s="200" t="s">
        <v>190</v>
      </c>
      <c r="M37" s="212"/>
      <c r="N37" s="303"/>
      <c r="O37" s="303">
        <f t="shared" ref="O37:T37" si="44">E37/1000</f>
        <v>5557.942</v>
      </c>
      <c r="P37" s="303">
        <f t="shared" si="44"/>
        <v>11374.744000000001</v>
      </c>
      <c r="Q37" s="303">
        <f t="shared" si="44"/>
        <v>17243.990000000002</v>
      </c>
      <c r="R37" s="303">
        <f t="shared" si="44"/>
        <v>25908.664000000001</v>
      </c>
      <c r="S37" s="212">
        <f t="shared" si="44"/>
        <v>38223.417000000001</v>
      </c>
      <c r="T37" s="212">
        <f t="shared" si="44"/>
        <v>58588.552000000003</v>
      </c>
    </row>
    <row r="38" spans="2:32">
      <c r="B38" s="200" t="s">
        <v>191</v>
      </c>
      <c r="C38" s="212"/>
      <c r="D38" s="212"/>
      <c r="E38" s="212"/>
      <c r="F38" s="212">
        <v>9585506</v>
      </c>
      <c r="G38" s="212">
        <v>13567228</v>
      </c>
      <c r="H38" s="212">
        <v>18588745</v>
      </c>
      <c r="I38" s="212">
        <v>29107607</v>
      </c>
      <c r="J38" s="213">
        <v>56087057</v>
      </c>
      <c r="L38" s="200" t="s">
        <v>191</v>
      </c>
      <c r="M38" s="212"/>
      <c r="N38" s="303"/>
      <c r="O38" s="303"/>
      <c r="P38" s="303">
        <f t="shared" ref="P38:T38" si="45">F38/1000</f>
        <v>9585.5059999999994</v>
      </c>
      <c r="Q38" s="303">
        <f t="shared" si="45"/>
        <v>13567.227999999999</v>
      </c>
      <c r="R38" s="303">
        <f t="shared" si="45"/>
        <v>18588.744999999999</v>
      </c>
      <c r="S38" s="212">
        <f t="shared" si="45"/>
        <v>29107.607</v>
      </c>
      <c r="T38" s="212">
        <f t="shared" si="45"/>
        <v>56087.057000000001</v>
      </c>
    </row>
    <row r="39" spans="2:32">
      <c r="B39" s="200" t="s">
        <v>192</v>
      </c>
      <c r="C39" s="212"/>
      <c r="D39" s="212"/>
      <c r="E39" s="212"/>
      <c r="F39" s="212"/>
      <c r="G39" s="212"/>
      <c r="H39" s="212"/>
      <c r="I39" s="212">
        <v>13570624</v>
      </c>
      <c r="J39" s="213">
        <v>21724480</v>
      </c>
      <c r="L39" s="200" t="s">
        <v>192</v>
      </c>
      <c r="M39" s="212"/>
      <c r="N39" s="303"/>
      <c r="O39" s="303"/>
      <c r="P39" s="303"/>
      <c r="Q39" s="303"/>
      <c r="R39" s="303"/>
      <c r="S39" s="212">
        <f>I39/1000</f>
        <v>13570.624</v>
      </c>
      <c r="T39" s="212">
        <f>J39/1000</f>
        <v>21724.48</v>
      </c>
    </row>
    <row r="40" spans="2:32">
      <c r="B40" s="201" t="s">
        <v>0</v>
      </c>
      <c r="C40" s="203">
        <f>SUM(C34:C39)</f>
        <v>59105550</v>
      </c>
      <c r="D40" s="203">
        <f t="shared" ref="D40:I40" si="46">SUM(D34:D39)</f>
        <v>71423478</v>
      </c>
      <c r="E40" s="203">
        <f t="shared" si="46"/>
        <v>81250349</v>
      </c>
      <c r="F40" s="203">
        <f t="shared" si="46"/>
        <v>106748567</v>
      </c>
      <c r="G40" s="203">
        <f t="shared" si="46"/>
        <v>133703325</v>
      </c>
      <c r="H40" s="203">
        <f t="shared" si="46"/>
        <v>162935268</v>
      </c>
      <c r="I40" s="203">
        <f t="shared" si="46"/>
        <v>244032774</v>
      </c>
      <c r="J40" s="204">
        <f>SUM(J34:J39)</f>
        <v>367333275</v>
      </c>
      <c r="L40" s="201" t="s">
        <v>0</v>
      </c>
      <c r="M40" s="203">
        <f>SUM(M34:M39)</f>
        <v>59105.549999999996</v>
      </c>
      <c r="N40" s="203">
        <f t="shared" ref="N40:S40" si="47">SUM(N34:N39)</f>
        <v>71423.478000000003</v>
      </c>
      <c r="O40" s="203">
        <f t="shared" si="47"/>
        <v>81250.348999999987</v>
      </c>
      <c r="P40" s="203">
        <f t="shared" si="47"/>
        <v>106748.56700000001</v>
      </c>
      <c r="Q40" s="203">
        <f t="shared" si="47"/>
        <v>133703.32500000001</v>
      </c>
      <c r="R40" s="203">
        <f t="shared" si="47"/>
        <v>162935.26799999998</v>
      </c>
      <c r="S40" s="203">
        <f t="shared" si="47"/>
        <v>244032.774</v>
      </c>
      <c r="T40" s="204">
        <f>SUM(T34:T39)</f>
        <v>367333.27500000002</v>
      </c>
    </row>
    <row r="41" spans="2:32" ht="14.4" thickBot="1">
      <c r="B41" s="202" t="s">
        <v>129</v>
      </c>
      <c r="C41" s="205"/>
      <c r="D41" s="206">
        <f>(D40/C40)-1</f>
        <v>0.20840560658009277</v>
      </c>
      <c r="E41" s="206">
        <f t="shared" ref="E41" si="48">(E40/D40)-1</f>
        <v>0.13758600498284324</v>
      </c>
      <c r="F41" s="206">
        <f t="shared" ref="F41" si="49">(F40/E40)-1</f>
        <v>0.31382287354851846</v>
      </c>
      <c r="G41" s="206">
        <f t="shared" ref="G41" si="50">(G40/F40)-1</f>
        <v>0.25250697744729433</v>
      </c>
      <c r="H41" s="206">
        <f t="shared" ref="H41" si="51">(H40/G40)-1</f>
        <v>0.21863287992276925</v>
      </c>
      <c r="I41" s="206">
        <f t="shared" ref="I41" si="52">(I40/H40)-1</f>
        <v>0.49772837394541258</v>
      </c>
      <c r="J41" s="207">
        <f t="shared" ref="J41" si="53">(J40/I40)-1</f>
        <v>0.50526205549751291</v>
      </c>
      <c r="L41" s="202" t="s">
        <v>129</v>
      </c>
      <c r="M41" s="205"/>
      <c r="N41" s="206">
        <f>(N40/M40)-1</f>
        <v>0.20840560658009277</v>
      </c>
      <c r="O41" s="206">
        <f t="shared" ref="O41" si="54">(O40/N40)-1</f>
        <v>0.13758600498284301</v>
      </c>
      <c r="P41" s="206">
        <f t="shared" ref="P41" si="55">(P40/O40)-1</f>
        <v>0.3138228735485189</v>
      </c>
      <c r="Q41" s="206">
        <f t="shared" ref="Q41" si="56">(Q40/P40)-1</f>
        <v>0.25250697744729433</v>
      </c>
      <c r="R41" s="206">
        <f t="shared" ref="R41" si="57">(R40/Q40)-1</f>
        <v>0.21863287992276903</v>
      </c>
      <c r="S41" s="206">
        <f t="shared" ref="S41" si="58">(S40/R40)-1</f>
        <v>0.49772837394541258</v>
      </c>
      <c r="T41" s="207">
        <f t="shared" ref="T41" si="59">(T40/S40)-1</f>
        <v>0.50526205549751291</v>
      </c>
    </row>
    <row r="42" spans="2:32" ht="28.2" customHeight="1" thickBot="1">
      <c r="B42" s="249" t="s">
        <v>169</v>
      </c>
      <c r="C42" s="214">
        <v>1209686009</v>
      </c>
      <c r="D42" s="214">
        <v>1458516465.5601699</v>
      </c>
      <c r="E42" s="214">
        <v>1716622954</v>
      </c>
      <c r="F42" s="214">
        <v>2071375707</v>
      </c>
      <c r="G42" s="214">
        <v>2366972400</v>
      </c>
      <c r="H42" s="214">
        <v>2752464808</v>
      </c>
      <c r="I42" s="214">
        <v>3608752002</v>
      </c>
      <c r="J42" s="215">
        <v>4882783411</v>
      </c>
      <c r="L42" s="249" t="s">
        <v>169</v>
      </c>
      <c r="M42" s="214">
        <f t="shared" ref="M42:T42" si="60">C42/1000</f>
        <v>1209686.0090000001</v>
      </c>
      <c r="N42" s="214">
        <f t="shared" si="60"/>
        <v>1458516.4655601699</v>
      </c>
      <c r="O42" s="214">
        <f t="shared" si="60"/>
        <v>1716622.9539999999</v>
      </c>
      <c r="P42" s="214">
        <f t="shared" si="60"/>
        <v>2071375.7069999999</v>
      </c>
      <c r="Q42" s="214">
        <f t="shared" si="60"/>
        <v>2366972.4</v>
      </c>
      <c r="R42" s="214">
        <f t="shared" si="60"/>
        <v>2752464.8080000002</v>
      </c>
      <c r="S42" s="214">
        <f t="shared" si="60"/>
        <v>3608752.0019999999</v>
      </c>
      <c r="T42" s="214">
        <f t="shared" si="60"/>
        <v>4882783.4110000003</v>
      </c>
    </row>
    <row r="43" spans="2:32" ht="14.4" thickBot="1">
      <c r="B43" s="202" t="s">
        <v>129</v>
      </c>
      <c r="C43" s="205"/>
      <c r="D43" s="206">
        <f>(D42/C42)-1</f>
        <v>0.20569838347214442</v>
      </c>
      <c r="E43" s="206">
        <f t="shared" ref="E43" si="61">(E42/D42)-1</f>
        <v>0.1769650837234118</v>
      </c>
      <c r="F43" s="206">
        <f t="shared" ref="F43" si="62">(F42/E42)-1</f>
        <v>0.20665735138480512</v>
      </c>
      <c r="G43" s="206">
        <f t="shared" ref="G43" si="63">(G42/F42)-1</f>
        <v>0.14270549374556318</v>
      </c>
      <c r="H43" s="206">
        <f t="shared" ref="H43" si="64">(H42/G42)-1</f>
        <v>0.16286307689941792</v>
      </c>
      <c r="I43" s="206">
        <f t="shared" ref="I43" si="65">(I42/H42)-1</f>
        <v>0.31109832594815146</v>
      </c>
      <c r="J43" s="207">
        <f t="shared" ref="J43" si="66">(J42/I42)-1</f>
        <v>0.3530393355636301</v>
      </c>
      <c r="L43" s="202" t="s">
        <v>129</v>
      </c>
      <c r="M43" s="205"/>
      <c r="N43" s="206">
        <f>(N42/M42)-1</f>
        <v>0.2056983834721442</v>
      </c>
      <c r="O43" s="206">
        <f t="shared" ref="O43" si="67">(O42/N42)-1</f>
        <v>0.1769650837234118</v>
      </c>
      <c r="P43" s="206">
        <f t="shared" ref="P43" si="68">(P42/O42)-1</f>
        <v>0.20665735138480512</v>
      </c>
      <c r="Q43" s="206">
        <f t="shared" ref="Q43" si="69">(Q42/P42)-1</f>
        <v>0.14270549374556318</v>
      </c>
      <c r="R43" s="206">
        <f t="shared" ref="R43" si="70">(R42/Q42)-1</f>
        <v>0.16286307689941815</v>
      </c>
      <c r="S43" s="206">
        <f t="shared" ref="S43" si="71">(S42/R42)-1</f>
        <v>0.31109832594815123</v>
      </c>
      <c r="T43" s="207">
        <f t="shared" ref="T43" si="72">(T42/S42)-1</f>
        <v>0.35303933556363032</v>
      </c>
    </row>
    <row r="44" spans="2:32">
      <c r="B44" s="348"/>
      <c r="C44" s="348"/>
      <c r="D44" s="348"/>
      <c r="E44" s="348"/>
      <c r="F44" s="348"/>
      <c r="G44" s="348"/>
      <c r="H44" s="348"/>
      <c r="I44" s="175"/>
      <c r="J44" s="175"/>
    </row>
    <row r="45" spans="2:32">
      <c r="B45" s="180"/>
      <c r="C45" s="180"/>
      <c r="D45" s="180"/>
      <c r="E45" s="180"/>
      <c r="F45" s="180"/>
      <c r="G45" s="180"/>
      <c r="H45" s="180"/>
      <c r="I45" s="181"/>
      <c r="J45" s="181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79"/>
      <c r="AE45" s="179"/>
      <c r="AF45" s="179"/>
    </row>
    <row r="46" spans="2:32">
      <c r="B46" s="318" t="s">
        <v>194</v>
      </c>
      <c r="C46" s="318"/>
      <c r="D46" s="318"/>
      <c r="E46" s="318"/>
      <c r="F46" s="322"/>
      <c r="G46" s="176"/>
      <c r="H46" s="176"/>
      <c r="I46" s="175"/>
      <c r="J46" s="175"/>
    </row>
    <row r="47" spans="2:32" ht="15" customHeight="1" thickBot="1">
      <c r="B47"/>
      <c r="C47"/>
      <c r="D47"/>
      <c r="E47"/>
      <c r="F47"/>
      <c r="G47"/>
      <c r="H47"/>
      <c r="I47" s="347" t="s">
        <v>128</v>
      </c>
      <c r="J47" s="347" t="s">
        <v>128</v>
      </c>
      <c r="K47" s="347"/>
      <c r="L47"/>
    </row>
    <row r="48" spans="2:32" ht="14.4" customHeight="1">
      <c r="B48" s="209"/>
      <c r="C48" s="210">
        <v>2014</v>
      </c>
      <c r="D48" s="210">
        <v>2015</v>
      </c>
      <c r="E48" s="210">
        <v>2016</v>
      </c>
      <c r="F48" s="210">
        <v>2017</v>
      </c>
      <c r="G48" s="210">
        <v>2018</v>
      </c>
      <c r="H48" s="210">
        <v>2019</v>
      </c>
      <c r="I48" s="210">
        <v>2020</v>
      </c>
      <c r="J48" s="216">
        <v>2021</v>
      </c>
      <c r="K48" s="217" t="s">
        <v>124</v>
      </c>
      <c r="L48" s="217" t="s">
        <v>125</v>
      </c>
      <c r="Y48" s="308"/>
      <c r="Z48" s="308"/>
      <c r="AA48" s="308"/>
      <c r="AB48" s="308"/>
    </row>
    <row r="49" spans="2:35" ht="14.4">
      <c r="B49" s="200" t="s">
        <v>187</v>
      </c>
      <c r="C49" s="305">
        <f>ADATOK!B95/100</f>
        <v>0.14150000000000001</v>
      </c>
      <c r="D49" s="305">
        <f>ADATOK!C95/100</f>
        <v>0.1527</v>
      </c>
      <c r="E49" s="305">
        <f>ADATOK!D95/100</f>
        <v>0.1346</v>
      </c>
      <c r="F49" s="305">
        <f>ADATOK!E95/100</f>
        <v>0.17059999999999997</v>
      </c>
      <c r="G49" s="305">
        <f>ADATOK!F95/100</f>
        <v>0.14660000000000001</v>
      </c>
      <c r="H49" s="305">
        <f>ADATOK!G95/100</f>
        <v>0.1497</v>
      </c>
      <c r="I49" s="218">
        <f>ADATOK!H95/100</f>
        <v>0.1351</v>
      </c>
      <c r="J49" s="219">
        <f>ADATOK!I95/100</f>
        <v>0.14899999999999999</v>
      </c>
      <c r="K49" s="220">
        <f>AVERAGE(C49:J49)</f>
        <v>0.14747499999999999</v>
      </c>
      <c r="L49" s="221">
        <v>1</v>
      </c>
      <c r="Y49" s="308"/>
      <c r="Z49" s="308"/>
      <c r="AA49" s="308"/>
      <c r="AB49" s="308"/>
    </row>
    <row r="50" spans="2:35" ht="14.4">
      <c r="B50" s="200" t="s">
        <v>188</v>
      </c>
      <c r="C50" s="305">
        <f>ADATOK!B96/100</f>
        <v>0.15090000000000001</v>
      </c>
      <c r="D50" s="305">
        <f>ADATOK!C96/100</f>
        <v>0.14230000000000001</v>
      </c>
      <c r="E50" s="305">
        <f>ADATOK!D96/100</f>
        <v>0.18160000000000001</v>
      </c>
      <c r="F50" s="305">
        <f>ADATOK!E96/100</f>
        <v>0.17660000000000001</v>
      </c>
      <c r="G50" s="305">
        <f>ADATOK!F96/100</f>
        <v>0.17679999999999998</v>
      </c>
      <c r="H50" s="305">
        <f>ADATOK!G96/100</f>
        <v>0.19320000000000001</v>
      </c>
      <c r="I50" s="218">
        <f>ADATOK!H96/100</f>
        <v>0.21260000000000001</v>
      </c>
      <c r="J50" s="219">
        <f>ADATOK!I96/100</f>
        <v>0.23050000000000001</v>
      </c>
      <c r="K50" s="220">
        <f t="shared" ref="K50:K54" si="73">AVERAGE(C50:J50)</f>
        <v>0.18306249999999999</v>
      </c>
      <c r="L50" s="221">
        <v>1</v>
      </c>
    </row>
    <row r="51" spans="2:35" ht="14.4">
      <c r="B51" s="200" t="s">
        <v>189</v>
      </c>
      <c r="C51" s="305">
        <f>ADATOK!B97/100</f>
        <v>0.12470000000000001</v>
      </c>
      <c r="D51" s="305">
        <f>ADATOK!C97/100</f>
        <v>0.1351</v>
      </c>
      <c r="E51" s="305">
        <f>ADATOK!D97/100</f>
        <v>0.15579999999999999</v>
      </c>
      <c r="F51" s="305">
        <f>ADATOK!E97/100</f>
        <v>0.1822</v>
      </c>
      <c r="G51" s="305">
        <f>ADATOK!F97/100</f>
        <v>0.16620000000000001</v>
      </c>
      <c r="H51" s="305">
        <f>ADATOK!G97/100</f>
        <v>0.1726</v>
      </c>
      <c r="I51" s="218">
        <f>ADATOK!H97/100</f>
        <v>0.16639999999999999</v>
      </c>
      <c r="J51" s="219">
        <f>ADATOK!I97/100</f>
        <v>0.17850000000000002</v>
      </c>
      <c r="K51" s="220">
        <f t="shared" si="73"/>
        <v>0.16018750000000001</v>
      </c>
      <c r="L51" s="221">
        <v>1</v>
      </c>
    </row>
    <row r="52" spans="2:35" ht="14.4">
      <c r="B52" s="200" t="s">
        <v>190</v>
      </c>
      <c r="C52" s="305"/>
      <c r="D52" s="305"/>
      <c r="E52" s="305">
        <f>ADATOK!D98/100</f>
        <v>0.1246</v>
      </c>
      <c r="F52" s="305">
        <f>ADATOK!E98/100</f>
        <v>0.13059999999999999</v>
      </c>
      <c r="G52" s="305">
        <f>ADATOK!F98/100</f>
        <v>0.12759999999999999</v>
      </c>
      <c r="H52" s="305">
        <f>ADATOK!G98/100</f>
        <v>0.16579999999999998</v>
      </c>
      <c r="I52" s="218">
        <f>ADATOK!H98/100</f>
        <v>0.14749999999999999</v>
      </c>
      <c r="J52" s="219">
        <f>ADATOK!I98/100</f>
        <v>0.14019999999999999</v>
      </c>
      <c r="K52" s="220">
        <f t="shared" si="73"/>
        <v>0.13938333333333333</v>
      </c>
      <c r="L52" s="221">
        <v>2</v>
      </c>
    </row>
    <row r="53" spans="2:35" ht="14.4">
      <c r="B53" s="200" t="s">
        <v>191</v>
      </c>
      <c r="C53" s="305"/>
      <c r="D53" s="305"/>
      <c r="E53" s="305"/>
      <c r="F53" s="305">
        <f>ADATOK!E99/100</f>
        <v>0.1409</v>
      </c>
      <c r="G53" s="305">
        <f>ADATOK!F99/100</f>
        <v>0.13600000000000001</v>
      </c>
      <c r="H53" s="305">
        <f>ADATOK!G99/100</f>
        <v>0.14880000000000002</v>
      </c>
      <c r="I53" s="218">
        <f>ADATOK!H99/100</f>
        <v>0.18469999999999998</v>
      </c>
      <c r="J53" s="219">
        <f>ADATOK!I99/100</f>
        <v>0.18289999999999998</v>
      </c>
      <c r="K53" s="220">
        <f t="shared" si="73"/>
        <v>0.15866</v>
      </c>
      <c r="L53" s="221">
        <v>1</v>
      </c>
    </row>
    <row r="54" spans="2:35" ht="15" thickBot="1">
      <c r="B54" s="222" t="s">
        <v>192</v>
      </c>
      <c r="C54" s="306"/>
      <c r="D54" s="306"/>
      <c r="E54" s="306"/>
      <c r="F54" s="306"/>
      <c r="G54" s="306"/>
      <c r="H54" s="306"/>
      <c r="I54" s="223">
        <f>ADATOK!H100/100</f>
        <v>0.28050000000000003</v>
      </c>
      <c r="J54" s="224">
        <f>ADATOK!I100/100</f>
        <v>0.27829999999999999</v>
      </c>
      <c r="K54" s="225">
        <f t="shared" si="73"/>
        <v>0.27939999999999998</v>
      </c>
      <c r="L54" s="226">
        <v>1</v>
      </c>
    </row>
    <row r="55" spans="2:35" ht="14.4">
      <c r="B55" s="227" t="s">
        <v>216</v>
      </c>
      <c r="C55" s="228">
        <v>0.08</v>
      </c>
      <c r="D55" s="228">
        <v>0.08</v>
      </c>
      <c r="E55" s="228">
        <v>0.08</v>
      </c>
      <c r="F55" s="228">
        <v>0.08</v>
      </c>
      <c r="G55" s="228">
        <v>0.08</v>
      </c>
      <c r="H55" s="228">
        <v>0.08</v>
      </c>
      <c r="I55" s="228">
        <v>0.08</v>
      </c>
      <c r="J55" s="228">
        <v>0.08</v>
      </c>
      <c r="K55" s="233"/>
      <c r="L55" s="233"/>
    </row>
    <row r="56" spans="2:35">
      <c r="B56" s="348"/>
      <c r="C56" s="348"/>
      <c r="D56" s="348"/>
      <c r="E56" s="348"/>
      <c r="F56" s="348"/>
      <c r="G56" s="348"/>
      <c r="H56" s="348"/>
      <c r="I56" s="78"/>
      <c r="J56" s="78"/>
      <c r="K56" s="7"/>
      <c r="L56" s="7"/>
    </row>
    <row r="57" spans="2:35">
      <c r="B57" s="180"/>
      <c r="C57" s="180"/>
      <c r="D57" s="180"/>
      <c r="E57" s="180"/>
      <c r="F57" s="180"/>
      <c r="G57" s="180"/>
      <c r="H57" s="180"/>
      <c r="I57" s="181"/>
      <c r="J57" s="181"/>
      <c r="K57" s="179"/>
      <c r="L57" s="179"/>
      <c r="M57" s="179"/>
      <c r="N57" s="179"/>
      <c r="O57" s="179"/>
      <c r="P57" s="179"/>
      <c r="Q57" s="179"/>
      <c r="R57" s="179"/>
      <c r="S57" s="179"/>
      <c r="T57" s="179"/>
      <c r="U57" s="179"/>
      <c r="V57" s="179"/>
      <c r="W57" s="179"/>
      <c r="X57" s="179"/>
      <c r="Y57" s="179"/>
      <c r="Z57" s="179"/>
      <c r="AA57" s="179"/>
      <c r="AB57" s="179"/>
      <c r="AC57" s="179"/>
      <c r="AD57" s="179"/>
      <c r="AE57" s="179"/>
      <c r="AF57" s="179"/>
    </row>
    <row r="58" spans="2:35">
      <c r="B58" s="318" t="s">
        <v>195</v>
      </c>
      <c r="C58" s="318"/>
      <c r="D58" s="318"/>
      <c r="E58" s="318"/>
      <c r="F58" s="16"/>
    </row>
    <row r="59" spans="2:35" ht="15" customHeight="1" thickBot="1">
      <c r="B59"/>
      <c r="C59"/>
      <c r="D59"/>
      <c r="E59"/>
      <c r="F59"/>
      <c r="G59"/>
      <c r="H59"/>
      <c r="I59" s="347" t="s">
        <v>128</v>
      </c>
      <c r="J59" s="347" t="s">
        <v>128</v>
      </c>
      <c r="K59" s="347"/>
      <c r="L59"/>
      <c r="AI59" s="7"/>
    </row>
    <row r="60" spans="2:35" ht="14.4" customHeight="1">
      <c r="B60" s="209"/>
      <c r="C60" s="210">
        <v>2014</v>
      </c>
      <c r="D60" s="210">
        <v>2015</v>
      </c>
      <c r="E60" s="210">
        <v>2016</v>
      </c>
      <c r="F60" s="210">
        <v>2017</v>
      </c>
      <c r="G60" s="210">
        <v>2018</v>
      </c>
      <c r="H60" s="210">
        <v>2019</v>
      </c>
      <c r="I60" s="210">
        <v>2020</v>
      </c>
      <c r="J60" s="216">
        <v>2021</v>
      </c>
      <c r="K60" s="217" t="s">
        <v>124</v>
      </c>
      <c r="L60" s="217" t="s">
        <v>125</v>
      </c>
      <c r="AI60" s="7"/>
    </row>
    <row r="61" spans="2:35" ht="14.4">
      <c r="B61" s="200" t="s">
        <v>187</v>
      </c>
      <c r="C61" s="218">
        <f>ADATOK!B105/100</f>
        <v>7.7709539666544369E-2</v>
      </c>
      <c r="D61" s="218">
        <f>ADATOK!C105/100</f>
        <v>7.116954438703553E-2</v>
      </c>
      <c r="E61" s="218">
        <f>ADATOK!D105/100</f>
        <v>6.9392444090601552E-2</v>
      </c>
      <c r="F61" s="218">
        <f>ADATOK!E105/100</f>
        <v>6.8494872226526782E-2</v>
      </c>
      <c r="G61" s="218">
        <f>ADATOK!F105/100</f>
        <v>7.7242276437859997E-2</v>
      </c>
      <c r="H61" s="218">
        <f>ADATOK!G105/100</f>
        <v>7.4367637622769198E-2</v>
      </c>
      <c r="I61" s="218">
        <f>ADATOK!H105/100</f>
        <v>5.8344952497770386E-2</v>
      </c>
      <c r="J61" s="219">
        <f>ADATOK!I105/100</f>
        <v>4.2465676441850286E-2</v>
      </c>
      <c r="K61" s="220">
        <f>AVERAGE(C61:J61)</f>
        <v>6.7398367921369759E-2</v>
      </c>
      <c r="L61" s="221">
        <v>4</v>
      </c>
      <c r="AI61" s="7"/>
    </row>
    <row r="62" spans="2:35" ht="14.4">
      <c r="B62" s="200" t="s">
        <v>188</v>
      </c>
      <c r="C62" s="218">
        <f>ADATOK!B106/100</f>
        <v>0.11096601243189419</v>
      </c>
      <c r="D62" s="218">
        <f>ADATOK!C106/100</f>
        <v>0.12359333017878084</v>
      </c>
      <c r="E62" s="218">
        <f>ADATOK!D106/100</f>
        <v>0.12391656936082845</v>
      </c>
      <c r="F62" s="218">
        <f>ADATOK!E106/100</f>
        <v>0.12441998749333229</v>
      </c>
      <c r="G62" s="218">
        <f>ADATOK!F106/100</f>
        <v>0.13649278585682625</v>
      </c>
      <c r="H62" s="218">
        <f>ADATOK!G106/100</f>
        <v>0.15310790920778913</v>
      </c>
      <c r="I62" s="218">
        <f>ADATOK!H106/100</f>
        <v>0.19047963395566059</v>
      </c>
      <c r="J62" s="219">
        <f>ADATOK!I106/100</f>
        <v>0.24296818555257496</v>
      </c>
      <c r="K62" s="220">
        <f t="shared" ref="K62:K67" si="74">AVERAGE(C62:J62)</f>
        <v>0.15074305175471084</v>
      </c>
      <c r="L62" s="221">
        <v>2</v>
      </c>
      <c r="AI62" s="7"/>
    </row>
    <row r="63" spans="2:35" ht="14.4">
      <c r="B63" s="200" t="s">
        <v>189</v>
      </c>
      <c r="C63" s="218">
        <f>ADATOK!B107/100</f>
        <v>0.10620296418944862</v>
      </c>
      <c r="D63" s="305">
        <f>ADATOK!C107/100</f>
        <v>0.11492133329877617</v>
      </c>
      <c r="E63" s="305">
        <f>ADATOK!D107/100</f>
        <v>0.10594476843386348</v>
      </c>
      <c r="F63" s="305">
        <f>ADATOK!E107/100</f>
        <v>9.6244191126528655E-2</v>
      </c>
      <c r="G63" s="305">
        <f>ADATOK!F107/100</f>
        <v>0.10883764524316701</v>
      </c>
      <c r="H63" s="305">
        <f>ADATOK!G107/100</f>
        <v>0.10861104614198359</v>
      </c>
      <c r="I63" s="218">
        <f>ADATOK!H107/100</f>
        <v>0.14807343072318865</v>
      </c>
      <c r="J63" s="219">
        <f>ADATOK!I107/100</f>
        <v>0.17637165816098538</v>
      </c>
      <c r="K63" s="220">
        <f t="shared" si="74"/>
        <v>0.12065087966474269</v>
      </c>
      <c r="L63" s="221">
        <v>3</v>
      </c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G63" s="7"/>
      <c r="AH63" s="7"/>
      <c r="AI63" s="7"/>
    </row>
    <row r="64" spans="2:35" ht="14.4">
      <c r="B64" s="200" t="s">
        <v>190</v>
      </c>
      <c r="C64" s="218"/>
      <c r="D64" s="305"/>
      <c r="E64" s="305">
        <f>ADATOK!D108/100</f>
        <v>0.10409741558236041</v>
      </c>
      <c r="F64" s="305">
        <f>ADATOK!E108/100</f>
        <v>0.10223222370324882</v>
      </c>
      <c r="G64" s="305">
        <f>ADATOK!F108/100</f>
        <v>0.10011154086000337</v>
      </c>
      <c r="H64" s="305">
        <f>ADATOK!G108/100</f>
        <v>0.1149168000282933</v>
      </c>
      <c r="I64" s="218">
        <f>ADATOK!H108/100</f>
        <v>0.16117460078574866</v>
      </c>
      <c r="J64" s="219">
        <f>ADATOK!I108/100</f>
        <v>0.22748408220309668</v>
      </c>
      <c r="K64" s="220">
        <f t="shared" si="74"/>
        <v>0.13500277719379186</v>
      </c>
      <c r="L64" s="221">
        <v>3</v>
      </c>
      <c r="AI64" s="7"/>
    </row>
    <row r="65" spans="2:32" ht="14.4">
      <c r="B65" s="200" t="s">
        <v>191</v>
      </c>
      <c r="C65" s="218"/>
      <c r="D65" s="305"/>
      <c r="E65" s="305"/>
      <c r="F65" s="305">
        <f>ADATOK!E109/100</f>
        <v>0.1192375111135181</v>
      </c>
      <c r="G65" s="305">
        <f>ADATOK!F109/100</f>
        <v>0.13721290758538685</v>
      </c>
      <c r="H65" s="305">
        <f>ADATOK!G109/100</f>
        <v>0.15478600678433593</v>
      </c>
      <c r="I65" s="218">
        <f>ADATOK!H109/100</f>
        <v>0.11077815330663369</v>
      </c>
      <c r="J65" s="219">
        <f>ADATOK!I109/100</f>
        <v>0.11689138126196458</v>
      </c>
      <c r="K65" s="220">
        <f t="shared" si="74"/>
        <v>0.12778119201036783</v>
      </c>
      <c r="L65" s="221">
        <v>3</v>
      </c>
    </row>
    <row r="66" spans="2:32" ht="15" thickBot="1">
      <c r="B66" s="222" t="s">
        <v>192</v>
      </c>
      <c r="C66" s="223"/>
      <c r="D66" s="306"/>
      <c r="E66" s="306"/>
      <c r="F66" s="306"/>
      <c r="G66" s="306"/>
      <c r="H66" s="306"/>
      <c r="I66" s="223">
        <f>ADATOK!H110/100</f>
        <v>0.13246688356658304</v>
      </c>
      <c r="J66" s="224">
        <f>ADATOK!I110/100</f>
        <v>0.22425008230045537</v>
      </c>
      <c r="K66" s="225">
        <f t="shared" si="74"/>
        <v>0.17835848293351919</v>
      </c>
      <c r="L66" s="226">
        <v>2</v>
      </c>
    </row>
    <row r="67" spans="2:32" ht="26.4">
      <c r="B67" s="229" t="s">
        <v>169</v>
      </c>
      <c r="C67" s="230">
        <f>ADATOK!B111/100</f>
        <v>0.11774111358938674</v>
      </c>
      <c r="D67" s="230">
        <f>ADATOK!C111/100</f>
        <v>0.11252873026670919</v>
      </c>
      <c r="E67" s="230">
        <f>ADATOK!D111/100</f>
        <v>0.11127178312032748</v>
      </c>
      <c r="F67" s="230">
        <f>ADATOK!E111/100</f>
        <v>0.11147868057514762</v>
      </c>
      <c r="G67" s="230">
        <f>ADATOK!F111/100</f>
        <v>0.11083646212742346</v>
      </c>
      <c r="H67" s="230">
        <f>ADATOK!G111/100</f>
        <v>0.11195208882304981</v>
      </c>
      <c r="I67" s="230">
        <f>ADATOK!H111/100</f>
        <v>0.10099408271000671</v>
      </c>
      <c r="J67" s="231">
        <f>ADATOK!I111/100</f>
        <v>7.9821732814244845E-2</v>
      </c>
      <c r="K67" s="232">
        <f t="shared" si="74"/>
        <v>0.10707808425328701</v>
      </c>
      <c r="L67" s="233"/>
    </row>
    <row r="68" spans="2:32">
      <c r="B68" s="348"/>
      <c r="C68" s="348"/>
      <c r="D68" s="348"/>
      <c r="E68" s="348"/>
      <c r="F68" s="348"/>
      <c r="G68" s="348"/>
      <c r="H68" s="348"/>
    </row>
    <row r="69" spans="2:32">
      <c r="B69" s="180"/>
      <c r="C69" s="180"/>
      <c r="D69" s="180"/>
      <c r="E69" s="180"/>
      <c r="F69" s="180"/>
      <c r="G69" s="180"/>
      <c r="H69" s="180"/>
      <c r="I69" s="181"/>
      <c r="J69" s="181"/>
      <c r="K69" s="179"/>
      <c r="L69" s="179"/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  <c r="X69" s="179"/>
      <c r="Y69" s="179"/>
      <c r="Z69" s="179"/>
      <c r="AA69" s="179"/>
      <c r="AB69" s="179"/>
      <c r="AC69" s="179"/>
      <c r="AD69" s="179"/>
      <c r="AE69" s="179"/>
      <c r="AF69" s="179"/>
    </row>
    <row r="70" spans="2:32">
      <c r="B70" s="318" t="s">
        <v>196</v>
      </c>
      <c r="C70" s="318"/>
      <c r="D70" s="318"/>
      <c r="E70" s="318"/>
      <c r="F70" s="16"/>
      <c r="G70" s="323"/>
      <c r="H70" s="307"/>
    </row>
    <row r="71" spans="2:32" ht="15" customHeight="1" thickBot="1">
      <c r="B71"/>
      <c r="C71"/>
      <c r="D71"/>
      <c r="E71"/>
      <c r="F71"/>
      <c r="G71"/>
      <c r="H71"/>
      <c r="I71" s="347" t="s">
        <v>128</v>
      </c>
      <c r="J71" s="347" t="s">
        <v>128</v>
      </c>
      <c r="K71" s="347"/>
      <c r="L71"/>
    </row>
    <row r="72" spans="2:32" ht="14.4" customHeight="1">
      <c r="B72" s="209"/>
      <c r="C72" s="210">
        <v>2014</v>
      </c>
      <c r="D72" s="210">
        <v>2015</v>
      </c>
      <c r="E72" s="210">
        <v>2016</v>
      </c>
      <c r="F72" s="210">
        <v>2017</v>
      </c>
      <c r="G72" s="210">
        <v>2018</v>
      </c>
      <c r="H72" s="210">
        <v>2019</v>
      </c>
      <c r="I72" s="210">
        <v>2020</v>
      </c>
      <c r="J72" s="216">
        <v>2021</v>
      </c>
      <c r="K72" s="217" t="s">
        <v>124</v>
      </c>
      <c r="L72" s="217" t="s">
        <v>125</v>
      </c>
    </row>
    <row r="73" spans="2:32" ht="14.4">
      <c r="B73" s="200" t="s">
        <v>187</v>
      </c>
      <c r="C73" s="218">
        <f t="shared" ref="C73:J75" si="75">C4/C34</f>
        <v>0.11573747421973542</v>
      </c>
      <c r="D73" s="218">
        <f t="shared" si="75"/>
        <v>0.11336986571534109</v>
      </c>
      <c r="E73" s="218">
        <f t="shared" si="75"/>
        <v>0.10436227500020029</v>
      </c>
      <c r="F73" s="218">
        <f t="shared" si="75"/>
        <v>0.10146660286873177</v>
      </c>
      <c r="G73" s="218">
        <f t="shared" si="75"/>
        <v>0.12051673058971572</v>
      </c>
      <c r="H73" s="218">
        <f t="shared" si="75"/>
        <v>0.12474781102202963</v>
      </c>
      <c r="I73" s="218">
        <f t="shared" si="75"/>
        <v>9.6163345436775127E-2</v>
      </c>
      <c r="J73" s="219">
        <f t="shared" si="75"/>
        <v>7.8018216340005525E-2</v>
      </c>
      <c r="K73" s="220">
        <f>AVERAGE(C73:J73)</f>
        <v>0.1067977901490668</v>
      </c>
      <c r="L73" s="221">
        <v>4</v>
      </c>
    </row>
    <row r="74" spans="2:32" ht="14.4">
      <c r="B74" s="200" t="s">
        <v>188</v>
      </c>
      <c r="C74" s="218">
        <f t="shared" si="75"/>
        <v>0.14691897704223</v>
      </c>
      <c r="D74" s="218">
        <f t="shared" si="75"/>
        <v>0.13161927971838613</v>
      </c>
      <c r="E74" s="218">
        <f t="shared" si="75"/>
        <v>0.13847964159563034</v>
      </c>
      <c r="F74" s="218">
        <f t="shared" si="75"/>
        <v>0.12755282002202806</v>
      </c>
      <c r="G74" s="218">
        <f t="shared" si="75"/>
        <v>0.11992839428393567</v>
      </c>
      <c r="H74" s="218">
        <f t="shared" si="75"/>
        <v>0.12353280694283898</v>
      </c>
      <c r="I74" s="218">
        <f t="shared" si="75"/>
        <v>0.10797903090218378</v>
      </c>
      <c r="J74" s="219">
        <f t="shared" si="75"/>
        <v>9.3833430944385426E-2</v>
      </c>
      <c r="K74" s="220">
        <f t="shared" ref="K74:K79" si="76">AVERAGE(C74:J74)</f>
        <v>0.12373054768145229</v>
      </c>
      <c r="L74" s="221">
        <v>3</v>
      </c>
    </row>
    <row r="75" spans="2:32" ht="14.4">
      <c r="B75" s="200" t="s">
        <v>189</v>
      </c>
      <c r="C75" s="218">
        <f t="shared" si="75"/>
        <v>0.1367882232551087</v>
      </c>
      <c r="D75" s="305">
        <f t="shared" si="75"/>
        <v>0.12425754260311855</v>
      </c>
      <c r="E75" s="305">
        <f t="shared" si="75"/>
        <v>0.14309078827761615</v>
      </c>
      <c r="F75" s="305">
        <f t="shared" si="75"/>
        <v>0.16025838688010202</v>
      </c>
      <c r="G75" s="305">
        <f t="shared" si="75"/>
        <v>0.14182945313863018</v>
      </c>
      <c r="H75" s="305">
        <f t="shared" si="75"/>
        <v>0.14815095018081517</v>
      </c>
      <c r="I75" s="218">
        <f t="shared" si="75"/>
        <v>0.11684110151779199</v>
      </c>
      <c r="J75" s="219">
        <f t="shared" si="75"/>
        <v>0.10893889040700712</v>
      </c>
      <c r="K75" s="220">
        <f t="shared" si="76"/>
        <v>0.13501941703252374</v>
      </c>
      <c r="L75" s="221">
        <v>3</v>
      </c>
    </row>
    <row r="76" spans="2:32" ht="14.4">
      <c r="B76" s="200" t="s">
        <v>190</v>
      </c>
      <c r="C76" s="218"/>
      <c r="D76" s="305"/>
      <c r="E76" s="305">
        <f t="shared" ref="E76:J76" si="77">E7/E37</f>
        <v>0.13757268427774166</v>
      </c>
      <c r="F76" s="305">
        <f t="shared" si="77"/>
        <v>0.12340330472492392</v>
      </c>
      <c r="G76" s="305">
        <f t="shared" si="77"/>
        <v>0.14758167918213824</v>
      </c>
      <c r="H76" s="305">
        <f t="shared" si="77"/>
        <v>0.12223046313773647</v>
      </c>
      <c r="I76" s="218">
        <f t="shared" si="77"/>
        <v>9.769594905656917E-2</v>
      </c>
      <c r="J76" s="219">
        <f t="shared" si="77"/>
        <v>7.3764154471679041E-2</v>
      </c>
      <c r="K76" s="220">
        <f t="shared" si="76"/>
        <v>0.11704137247513142</v>
      </c>
      <c r="L76" s="221">
        <v>4</v>
      </c>
    </row>
    <row r="77" spans="2:32" ht="14.4">
      <c r="B77" s="200" t="s">
        <v>191</v>
      </c>
      <c r="C77" s="218"/>
      <c r="D77" s="305"/>
      <c r="E77" s="305"/>
      <c r="F77" s="305">
        <f t="shared" ref="F77:J77" si="78">F8/F38</f>
        <v>0.11557918799487477</v>
      </c>
      <c r="G77" s="305">
        <f t="shared" si="78"/>
        <v>0.11256728345687123</v>
      </c>
      <c r="H77" s="305">
        <f t="shared" si="78"/>
        <v>0.10547742733573461</v>
      </c>
      <c r="I77" s="218">
        <f t="shared" si="78"/>
        <v>0.16485608040537306</v>
      </c>
      <c r="J77" s="219">
        <f t="shared" si="78"/>
        <v>0.15368463708124319</v>
      </c>
      <c r="K77" s="220">
        <f t="shared" si="76"/>
        <v>0.13043292325481937</v>
      </c>
      <c r="L77" s="221">
        <v>3</v>
      </c>
    </row>
    <row r="78" spans="2:32" ht="15" thickBot="1">
      <c r="B78" s="222" t="s">
        <v>192</v>
      </c>
      <c r="C78" s="223"/>
      <c r="D78" s="306"/>
      <c r="E78" s="306"/>
      <c r="F78" s="306"/>
      <c r="G78" s="306"/>
      <c r="H78" s="306"/>
      <c r="I78" s="223">
        <f>I9/I39</f>
        <v>0.11342632439009437</v>
      </c>
      <c r="J78" s="224">
        <f>J9/J39</f>
        <v>7.9561075800203274E-2</v>
      </c>
      <c r="K78" s="225">
        <f t="shared" si="76"/>
        <v>9.6493700095148821E-2</v>
      </c>
      <c r="L78" s="226">
        <v>4</v>
      </c>
    </row>
    <row r="79" spans="2:32" ht="26.4">
      <c r="B79" s="229" t="s">
        <v>169</v>
      </c>
      <c r="C79" s="230">
        <f t="shared" ref="C79:J79" si="79">C12/C42</f>
        <v>0.1837927704758632</v>
      </c>
      <c r="D79" s="230">
        <f t="shared" si="79"/>
        <v>0.17251340793287731</v>
      </c>
      <c r="E79" s="230">
        <f t="shared" si="79"/>
        <v>0.16823088455417867</v>
      </c>
      <c r="F79" s="230">
        <f t="shared" si="79"/>
        <v>0.16657088418774238</v>
      </c>
      <c r="G79" s="230">
        <f t="shared" si="79"/>
        <v>0.17121362124881556</v>
      </c>
      <c r="H79" s="230">
        <f t="shared" si="79"/>
        <v>0.17090493605322782</v>
      </c>
      <c r="I79" s="230">
        <f t="shared" si="79"/>
        <v>0.15849901619257903</v>
      </c>
      <c r="J79" s="231">
        <f t="shared" si="79"/>
        <v>0.13878058065680604</v>
      </c>
      <c r="K79" s="232">
        <f t="shared" si="76"/>
        <v>0.16631326266276125</v>
      </c>
      <c r="L79" s="233"/>
    </row>
    <row r="80" spans="2:32">
      <c r="B80" s="176"/>
      <c r="C80" s="176"/>
      <c r="D80" s="176"/>
      <c r="E80" s="176"/>
      <c r="F80" s="176"/>
      <c r="G80" s="176"/>
      <c r="H80" s="176"/>
    </row>
    <row r="81" spans="2:32">
      <c r="B81" s="180"/>
      <c r="C81" s="180"/>
      <c r="D81" s="180"/>
      <c r="E81" s="180"/>
      <c r="F81" s="180"/>
      <c r="G81" s="180"/>
      <c r="H81" s="180"/>
      <c r="I81" s="181"/>
      <c r="J81" s="181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  <c r="AF81" s="179"/>
    </row>
  </sheetData>
  <mergeCells count="14">
    <mergeCell ref="I59:K59"/>
    <mergeCell ref="I71:K71"/>
    <mergeCell ref="B68:H68"/>
    <mergeCell ref="B44:H44"/>
    <mergeCell ref="R2:T2"/>
    <mergeCell ref="R17:T17"/>
    <mergeCell ref="R32:T32"/>
    <mergeCell ref="B56:H56"/>
    <mergeCell ref="H32:J32"/>
    <mergeCell ref="I47:K47"/>
    <mergeCell ref="B14:H14"/>
    <mergeCell ref="B29:H29"/>
    <mergeCell ref="H2:J2"/>
    <mergeCell ref="H17:J17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B6DAF-355E-420D-83D9-1E7D74217EE0}">
  <dimension ref="A1:AH26"/>
  <sheetViews>
    <sheetView zoomScale="70" zoomScaleNormal="70" workbookViewId="0">
      <pane xSplit="1" topLeftCell="B1" activePane="topRight" state="frozen"/>
      <selection pane="topRight" activeCell="D4" sqref="D4"/>
    </sheetView>
  </sheetViews>
  <sheetFormatPr defaultRowHeight="13.8"/>
  <cols>
    <col min="1" max="1" width="55.21875" style="2" customWidth="1"/>
    <col min="2" max="4" width="8.21875" style="2" bestFit="1" customWidth="1"/>
    <col min="5" max="5" width="10.5546875" style="2" bestFit="1" customWidth="1"/>
    <col min="6" max="6" width="8.21875" style="2" bestFit="1" customWidth="1"/>
    <col min="7" max="32" width="12.44140625" style="2" bestFit="1" customWidth="1"/>
    <col min="33" max="33" width="14.109375" style="2" bestFit="1" customWidth="1"/>
    <col min="34" max="16384" width="8.88671875" style="2"/>
  </cols>
  <sheetData>
    <row r="1" spans="1:34" ht="22.8" customHeight="1">
      <c r="A1" s="380" t="s">
        <v>6</v>
      </c>
      <c r="B1" s="375" t="s">
        <v>7</v>
      </c>
      <c r="C1" s="375" t="s">
        <v>8</v>
      </c>
      <c r="D1" s="375" t="s">
        <v>9</v>
      </c>
      <c r="E1" s="375" t="s">
        <v>10</v>
      </c>
      <c r="F1" s="375" t="s">
        <v>11</v>
      </c>
      <c r="G1" s="375" t="s">
        <v>12</v>
      </c>
      <c r="H1" s="375" t="s">
        <v>13</v>
      </c>
      <c r="I1" s="375" t="s">
        <v>14</v>
      </c>
      <c r="J1" s="375" t="s">
        <v>15</v>
      </c>
      <c r="K1" s="375" t="s">
        <v>16</v>
      </c>
      <c r="L1" s="375" t="s">
        <v>17</v>
      </c>
      <c r="M1" s="375" t="s">
        <v>18</v>
      </c>
      <c r="N1" s="375" t="s">
        <v>19</v>
      </c>
      <c r="O1" s="375" t="s">
        <v>20</v>
      </c>
      <c r="P1" s="375" t="s">
        <v>21</v>
      </c>
      <c r="Q1" s="375" t="s">
        <v>22</v>
      </c>
      <c r="R1" s="375" t="s">
        <v>23</v>
      </c>
      <c r="S1" s="375" t="s">
        <v>24</v>
      </c>
      <c r="T1" s="375" t="s">
        <v>25</v>
      </c>
      <c r="U1" s="375" t="s">
        <v>26</v>
      </c>
      <c r="V1" s="375" t="s">
        <v>27</v>
      </c>
      <c r="W1" s="375" t="s">
        <v>28</v>
      </c>
      <c r="X1" s="375" t="s">
        <v>29</v>
      </c>
      <c r="Y1" s="375" t="s">
        <v>30</v>
      </c>
      <c r="Z1" s="375" t="s">
        <v>31</v>
      </c>
      <c r="AA1" s="375" t="s">
        <v>32</v>
      </c>
      <c r="AB1" s="375" t="s">
        <v>33</v>
      </c>
      <c r="AC1" s="375" t="s">
        <v>34</v>
      </c>
      <c r="AD1" s="375" t="s">
        <v>35</v>
      </c>
      <c r="AE1" s="375" t="s">
        <v>36</v>
      </c>
      <c r="AF1" s="375" t="s">
        <v>37</v>
      </c>
      <c r="AG1" s="375" t="s">
        <v>38</v>
      </c>
    </row>
    <row r="2" spans="1:34">
      <c r="A2" s="379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376"/>
      <c r="AG2" s="376"/>
    </row>
    <row r="3" spans="1:34" ht="20.399999999999999">
      <c r="A3" s="81" t="s">
        <v>135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4" ht="14.4">
      <c r="A4" s="56" t="s">
        <v>43</v>
      </c>
      <c r="B4" s="42" t="s">
        <v>1</v>
      </c>
      <c r="C4" s="42" t="s">
        <v>1</v>
      </c>
      <c r="D4" s="42" t="s">
        <v>1</v>
      </c>
      <c r="E4" s="43" t="s">
        <v>1</v>
      </c>
      <c r="F4" s="42" t="s">
        <v>1</v>
      </c>
      <c r="G4" s="42" t="s">
        <v>1</v>
      </c>
      <c r="H4" s="42" t="s">
        <v>1</v>
      </c>
      <c r="I4" s="43">
        <v>857671</v>
      </c>
      <c r="J4" s="42">
        <v>857521</v>
      </c>
      <c r="K4" s="42">
        <v>860026</v>
      </c>
      <c r="L4" s="42">
        <v>866242</v>
      </c>
      <c r="M4" s="43">
        <v>876418</v>
      </c>
      <c r="N4" s="42">
        <v>899579</v>
      </c>
      <c r="O4" s="42">
        <v>923537</v>
      </c>
      <c r="P4" s="42">
        <v>962413</v>
      </c>
      <c r="Q4" s="43">
        <v>1107885</v>
      </c>
      <c r="R4" s="44">
        <v>1153700</v>
      </c>
      <c r="S4" s="44">
        <v>1192507</v>
      </c>
      <c r="T4" s="44">
        <v>1413229</v>
      </c>
      <c r="U4" s="45">
        <v>1527226</v>
      </c>
      <c r="V4" s="44">
        <v>1567970</v>
      </c>
      <c r="W4" s="44">
        <v>1686166</v>
      </c>
      <c r="X4" s="44">
        <v>1841892</v>
      </c>
      <c r="Y4" s="45">
        <v>1960693</v>
      </c>
      <c r="Z4" s="44">
        <v>4233814</v>
      </c>
      <c r="AA4" s="44">
        <v>4492974</v>
      </c>
      <c r="AB4" s="44">
        <v>4634746</v>
      </c>
      <c r="AC4" s="45">
        <v>4798566</v>
      </c>
      <c r="AD4" s="44">
        <v>7424226</v>
      </c>
      <c r="AE4" s="44">
        <v>7804885</v>
      </c>
      <c r="AF4" s="44">
        <v>8111913</v>
      </c>
      <c r="AG4" s="45">
        <v>8619719</v>
      </c>
      <c r="AH4" s="7"/>
    </row>
    <row r="5" spans="1:34">
      <c r="A5" s="59" t="s">
        <v>42</v>
      </c>
      <c r="B5" s="38"/>
      <c r="C5" s="38"/>
      <c r="D5" s="38"/>
      <c r="E5" s="39"/>
      <c r="F5" s="38"/>
      <c r="G5" s="38"/>
      <c r="H5" s="38"/>
      <c r="I5" s="39"/>
      <c r="J5" s="38"/>
      <c r="K5" s="38"/>
      <c r="L5" s="38"/>
      <c r="M5" s="39"/>
      <c r="N5" s="38"/>
      <c r="O5" s="38"/>
      <c r="P5" s="38"/>
      <c r="Q5" s="39"/>
      <c r="R5" s="40"/>
      <c r="S5" s="40"/>
      <c r="T5" s="40"/>
      <c r="U5" s="41"/>
      <c r="V5" s="40"/>
      <c r="W5" s="40"/>
      <c r="X5" s="40"/>
      <c r="Y5" s="41"/>
      <c r="Z5" s="40"/>
      <c r="AA5" s="40"/>
      <c r="AB5" s="40"/>
      <c r="AC5" s="41"/>
      <c r="AD5" s="40"/>
      <c r="AE5" s="40"/>
      <c r="AF5" s="40"/>
      <c r="AG5" s="41"/>
      <c r="AH5" s="7"/>
    </row>
    <row r="6" spans="1:34">
      <c r="A6" s="60" t="s">
        <v>90</v>
      </c>
      <c r="B6" s="38" t="s">
        <v>1</v>
      </c>
      <c r="C6" s="38" t="s">
        <v>1</v>
      </c>
      <c r="D6" s="38" t="s">
        <v>1</v>
      </c>
      <c r="E6" s="39" t="s">
        <v>1</v>
      </c>
      <c r="F6" s="38" t="s">
        <v>1</v>
      </c>
      <c r="G6" s="38" t="s">
        <v>1</v>
      </c>
      <c r="H6" s="38" t="s">
        <v>1</v>
      </c>
      <c r="I6" s="39" t="s">
        <v>1</v>
      </c>
      <c r="J6" s="38">
        <v>182233</v>
      </c>
      <c r="K6" s="38">
        <v>543626</v>
      </c>
      <c r="L6" s="38">
        <v>1386922</v>
      </c>
      <c r="M6" s="39">
        <v>3034756</v>
      </c>
      <c r="N6" s="38">
        <v>4426440</v>
      </c>
      <c r="O6" s="38">
        <v>6624830</v>
      </c>
      <c r="P6" s="38">
        <v>8393385</v>
      </c>
      <c r="Q6" s="39">
        <v>10088414</v>
      </c>
      <c r="R6" s="40">
        <v>11272693</v>
      </c>
      <c r="S6" s="40">
        <v>13065267</v>
      </c>
      <c r="T6" s="40">
        <v>12801871</v>
      </c>
      <c r="U6" s="41">
        <v>15182406</v>
      </c>
      <c r="V6" s="40">
        <v>17381888</v>
      </c>
      <c r="W6" s="40">
        <v>18649875</v>
      </c>
      <c r="X6" s="40">
        <v>20766608</v>
      </c>
      <c r="Y6" s="41">
        <v>22953215</v>
      </c>
      <c r="Z6" s="40">
        <v>24980758</v>
      </c>
      <c r="AA6" s="40">
        <v>32449319</v>
      </c>
      <c r="AB6" s="40">
        <v>38225289</v>
      </c>
      <c r="AC6" s="41">
        <v>39566471</v>
      </c>
      <c r="AD6" s="40">
        <v>41832578</v>
      </c>
      <c r="AE6" s="40">
        <v>48233905</v>
      </c>
      <c r="AF6" s="40">
        <v>50416438</v>
      </c>
      <c r="AG6" s="41">
        <v>73625445</v>
      </c>
      <c r="AH6" s="7"/>
    </row>
    <row r="7" spans="1:34">
      <c r="A7" s="60" t="s">
        <v>91</v>
      </c>
      <c r="B7" s="38" t="s">
        <v>1</v>
      </c>
      <c r="C7" s="38" t="s">
        <v>1</v>
      </c>
      <c r="D7" s="38" t="s">
        <v>1</v>
      </c>
      <c r="E7" s="39" t="s">
        <v>1</v>
      </c>
      <c r="F7" s="38" t="s">
        <v>1</v>
      </c>
      <c r="G7" s="38" t="s">
        <v>1</v>
      </c>
      <c r="H7" s="38" t="s">
        <v>1</v>
      </c>
      <c r="I7" s="39" t="s">
        <v>1</v>
      </c>
      <c r="J7" s="38">
        <v>180</v>
      </c>
      <c r="K7" s="38" t="s">
        <v>1</v>
      </c>
      <c r="L7" s="38">
        <v>1304</v>
      </c>
      <c r="M7" s="39">
        <v>2094</v>
      </c>
      <c r="N7" s="38">
        <v>1225</v>
      </c>
      <c r="O7" s="38">
        <v>8316</v>
      </c>
      <c r="P7" s="38">
        <v>5442</v>
      </c>
      <c r="Q7" s="39">
        <v>1855</v>
      </c>
      <c r="R7" s="40">
        <v>1724513</v>
      </c>
      <c r="S7" s="40">
        <v>2750183</v>
      </c>
      <c r="T7" s="40">
        <v>3849985</v>
      </c>
      <c r="U7" s="41">
        <v>3691339</v>
      </c>
      <c r="V7" s="40">
        <v>3787194</v>
      </c>
      <c r="W7" s="40">
        <v>2661820</v>
      </c>
      <c r="X7" s="40">
        <v>3207013</v>
      </c>
      <c r="Y7" s="41">
        <v>3604916</v>
      </c>
      <c r="Z7" s="40">
        <v>3105975</v>
      </c>
      <c r="AA7" s="40">
        <v>3838537</v>
      </c>
      <c r="AB7" s="40">
        <v>5906402</v>
      </c>
      <c r="AC7" s="41">
        <v>5808300</v>
      </c>
      <c r="AD7" s="40">
        <v>6935740</v>
      </c>
      <c r="AE7" s="40">
        <v>7278628</v>
      </c>
      <c r="AF7" s="40">
        <v>8973168</v>
      </c>
      <c r="AG7" s="41">
        <v>10114969</v>
      </c>
      <c r="AH7" s="7"/>
    </row>
    <row r="8" spans="1:34">
      <c r="A8" s="60" t="s">
        <v>92</v>
      </c>
      <c r="B8" s="38" t="s">
        <v>1</v>
      </c>
      <c r="C8" s="38" t="s">
        <v>1</v>
      </c>
      <c r="D8" s="38" t="s">
        <v>1</v>
      </c>
      <c r="E8" s="39" t="s">
        <v>1</v>
      </c>
      <c r="F8" s="38" t="s">
        <v>1</v>
      </c>
      <c r="G8" s="38" t="s">
        <v>1</v>
      </c>
      <c r="H8" s="38" t="s">
        <v>1</v>
      </c>
      <c r="I8" s="39" t="s">
        <v>1</v>
      </c>
      <c r="J8" s="38" t="s">
        <v>1</v>
      </c>
      <c r="K8" s="38">
        <v>79651</v>
      </c>
      <c r="L8" s="38">
        <v>63015</v>
      </c>
      <c r="M8" s="39">
        <v>199278</v>
      </c>
      <c r="N8" s="38">
        <v>316815</v>
      </c>
      <c r="O8" s="38">
        <v>476532</v>
      </c>
      <c r="P8" s="38">
        <v>812292</v>
      </c>
      <c r="Q8" s="39">
        <v>1270654</v>
      </c>
      <c r="R8" s="40" t="s">
        <v>1</v>
      </c>
      <c r="S8" s="40">
        <v>311349</v>
      </c>
      <c r="T8" s="40" t="s">
        <v>1</v>
      </c>
      <c r="U8" s="41" t="s">
        <v>1</v>
      </c>
      <c r="V8" s="40">
        <v>3003</v>
      </c>
      <c r="W8" s="40">
        <v>17972</v>
      </c>
      <c r="X8" s="40">
        <v>16655</v>
      </c>
      <c r="Y8" s="41">
        <v>344550</v>
      </c>
      <c r="Z8" s="40">
        <v>212261</v>
      </c>
      <c r="AA8" s="40">
        <v>1027630</v>
      </c>
      <c r="AB8" s="40">
        <v>2277465</v>
      </c>
      <c r="AC8" s="41">
        <v>537043</v>
      </c>
      <c r="AD8" s="40">
        <v>284881</v>
      </c>
      <c r="AE8" s="40">
        <v>3121513</v>
      </c>
      <c r="AF8" s="40">
        <v>2857285</v>
      </c>
      <c r="AG8" s="41">
        <v>4676059</v>
      </c>
      <c r="AH8" s="7"/>
    </row>
    <row r="9" spans="1:34" ht="27.6">
      <c r="A9" s="60" t="s">
        <v>93</v>
      </c>
      <c r="B9" s="38" t="s">
        <v>1</v>
      </c>
      <c r="C9" s="38" t="s">
        <v>1</v>
      </c>
      <c r="D9" s="38" t="s">
        <v>1</v>
      </c>
      <c r="E9" s="39" t="s">
        <v>1</v>
      </c>
      <c r="F9" s="38" t="s">
        <v>1</v>
      </c>
      <c r="G9" s="38" t="s">
        <v>1</v>
      </c>
      <c r="H9" s="38" t="s">
        <v>1</v>
      </c>
      <c r="I9" s="39" t="s">
        <v>1</v>
      </c>
      <c r="J9" s="38" t="s">
        <v>1</v>
      </c>
      <c r="K9" s="38">
        <v>26579</v>
      </c>
      <c r="L9" s="38">
        <v>93276</v>
      </c>
      <c r="M9" s="39">
        <v>40832</v>
      </c>
      <c r="N9" s="38" t="s">
        <v>1</v>
      </c>
      <c r="O9" s="38" t="s">
        <v>1</v>
      </c>
      <c r="P9" s="38" t="s">
        <v>1</v>
      </c>
      <c r="Q9" s="39">
        <v>370258</v>
      </c>
      <c r="R9" s="40" t="s">
        <v>1</v>
      </c>
      <c r="S9" s="40" t="s">
        <v>1</v>
      </c>
      <c r="T9" s="40" t="s">
        <v>1</v>
      </c>
      <c r="U9" s="41" t="s">
        <v>1</v>
      </c>
      <c r="V9" s="40" t="s">
        <v>1</v>
      </c>
      <c r="W9" s="40" t="s">
        <v>1</v>
      </c>
      <c r="X9" s="40" t="s">
        <v>1</v>
      </c>
      <c r="Y9" s="41" t="s">
        <v>1</v>
      </c>
      <c r="Z9" s="40" t="s">
        <v>1</v>
      </c>
      <c r="AA9" s="40" t="s">
        <v>1</v>
      </c>
      <c r="AB9" s="40" t="s">
        <v>1</v>
      </c>
      <c r="AC9" s="41" t="s">
        <v>1</v>
      </c>
      <c r="AD9" s="40" t="s">
        <v>1</v>
      </c>
      <c r="AE9" s="40" t="s">
        <v>1</v>
      </c>
      <c r="AF9" s="40" t="s">
        <v>1</v>
      </c>
      <c r="AG9" s="41" t="s">
        <v>1</v>
      </c>
      <c r="AH9" s="7"/>
    </row>
    <row r="10" spans="1:34" ht="27.6">
      <c r="A10" s="60" t="s">
        <v>94</v>
      </c>
      <c r="B10" s="38" t="s">
        <v>1</v>
      </c>
      <c r="C10" s="38" t="s">
        <v>1</v>
      </c>
      <c r="D10" s="38" t="s">
        <v>1</v>
      </c>
      <c r="E10" s="39" t="s">
        <v>1</v>
      </c>
      <c r="F10" s="38" t="s">
        <v>1</v>
      </c>
      <c r="G10" s="38" t="s">
        <v>1</v>
      </c>
      <c r="H10" s="38" t="s">
        <v>1</v>
      </c>
      <c r="I10" s="39" t="s">
        <v>1</v>
      </c>
      <c r="J10" s="38" t="s">
        <v>1</v>
      </c>
      <c r="K10" s="38" t="s">
        <v>1</v>
      </c>
      <c r="L10" s="38" t="s">
        <v>1</v>
      </c>
      <c r="M10" s="39" t="s">
        <v>1</v>
      </c>
      <c r="N10" s="38" t="s">
        <v>1</v>
      </c>
      <c r="O10" s="38" t="s">
        <v>1</v>
      </c>
      <c r="P10" s="38" t="s">
        <v>1</v>
      </c>
      <c r="Q10" s="39" t="s">
        <v>1</v>
      </c>
      <c r="R10" s="40" t="s">
        <v>1</v>
      </c>
      <c r="S10" s="40" t="s">
        <v>1</v>
      </c>
      <c r="T10" s="40" t="s">
        <v>1</v>
      </c>
      <c r="U10" s="41" t="s">
        <v>1</v>
      </c>
      <c r="V10" s="40" t="s">
        <v>1</v>
      </c>
      <c r="W10" s="40" t="s">
        <v>1</v>
      </c>
      <c r="X10" s="40" t="s">
        <v>1</v>
      </c>
      <c r="Y10" s="41" t="s">
        <v>1</v>
      </c>
      <c r="Z10" s="40" t="s">
        <v>1</v>
      </c>
      <c r="AA10" s="40" t="s">
        <v>1</v>
      </c>
      <c r="AB10" s="40" t="s">
        <v>1</v>
      </c>
      <c r="AC10" s="41" t="s">
        <v>1</v>
      </c>
      <c r="AD10" s="40" t="s">
        <v>1</v>
      </c>
      <c r="AE10" s="40" t="s">
        <v>1</v>
      </c>
      <c r="AF10" s="40" t="s">
        <v>1</v>
      </c>
      <c r="AG10" s="41" t="s">
        <v>1</v>
      </c>
      <c r="AH10" s="7"/>
    </row>
    <row r="11" spans="1:34">
      <c r="A11" s="61" t="s">
        <v>95</v>
      </c>
      <c r="B11" s="38" t="s">
        <v>1</v>
      </c>
      <c r="C11" s="38" t="s">
        <v>1</v>
      </c>
      <c r="D11" s="38" t="s">
        <v>1</v>
      </c>
      <c r="E11" s="39" t="s">
        <v>1</v>
      </c>
      <c r="F11" s="38" t="s">
        <v>1</v>
      </c>
      <c r="G11" s="38" t="s">
        <v>1</v>
      </c>
      <c r="H11" s="38" t="s">
        <v>1</v>
      </c>
      <c r="I11" s="39">
        <v>3332</v>
      </c>
      <c r="J11" s="38">
        <v>13821</v>
      </c>
      <c r="K11" s="38">
        <v>29275</v>
      </c>
      <c r="L11" s="38">
        <v>33242</v>
      </c>
      <c r="M11" s="39">
        <v>492140</v>
      </c>
      <c r="N11" s="38">
        <v>263711</v>
      </c>
      <c r="O11" s="38">
        <v>297945</v>
      </c>
      <c r="P11" s="38">
        <v>234395</v>
      </c>
      <c r="Q11" s="39">
        <v>229256</v>
      </c>
      <c r="R11" s="40">
        <v>4574</v>
      </c>
      <c r="S11" s="40">
        <v>13898</v>
      </c>
      <c r="T11" s="40">
        <v>14533</v>
      </c>
      <c r="U11" s="41">
        <v>19641</v>
      </c>
      <c r="V11" s="40">
        <v>69672</v>
      </c>
      <c r="W11" s="40">
        <v>17775</v>
      </c>
      <c r="X11" s="40">
        <v>20209</v>
      </c>
      <c r="Y11" s="41">
        <v>52203</v>
      </c>
      <c r="Z11" s="40">
        <v>313929</v>
      </c>
      <c r="AA11" s="40">
        <v>98645</v>
      </c>
      <c r="AB11" s="40">
        <v>213790</v>
      </c>
      <c r="AC11" s="41">
        <v>392551</v>
      </c>
      <c r="AD11" s="40">
        <v>620121</v>
      </c>
      <c r="AE11" s="40">
        <v>305975</v>
      </c>
      <c r="AF11" s="40">
        <v>227855</v>
      </c>
      <c r="AG11" s="41">
        <v>476789</v>
      </c>
      <c r="AH11" s="7"/>
    </row>
    <row r="12" spans="1:34">
      <c r="A12" s="60" t="s">
        <v>96</v>
      </c>
      <c r="B12" s="38" t="s">
        <v>1</v>
      </c>
      <c r="C12" s="38" t="s">
        <v>1</v>
      </c>
      <c r="D12" s="38" t="s">
        <v>1</v>
      </c>
      <c r="E12" s="39" t="s">
        <v>1</v>
      </c>
      <c r="F12" s="38" t="s">
        <v>1</v>
      </c>
      <c r="G12" s="38" t="s">
        <v>1</v>
      </c>
      <c r="H12" s="38" t="s">
        <v>1</v>
      </c>
      <c r="I12" s="39" t="s">
        <v>1</v>
      </c>
      <c r="J12" s="38" t="s">
        <v>1</v>
      </c>
      <c r="K12" s="38" t="s">
        <v>1</v>
      </c>
      <c r="L12" s="38" t="s">
        <v>1</v>
      </c>
      <c r="M12" s="39" t="s">
        <v>1</v>
      </c>
      <c r="N12" s="38" t="s">
        <v>1</v>
      </c>
      <c r="O12" s="38" t="s">
        <v>1</v>
      </c>
      <c r="P12" s="38" t="s">
        <v>1</v>
      </c>
      <c r="Q12" s="39" t="s">
        <v>1</v>
      </c>
      <c r="R12" s="40"/>
      <c r="S12" s="40"/>
      <c r="T12" s="40"/>
      <c r="U12" s="41"/>
      <c r="V12" s="40">
        <v>116426</v>
      </c>
      <c r="W12" s="40">
        <v>118250</v>
      </c>
      <c r="X12" s="40">
        <v>138686</v>
      </c>
      <c r="Y12" s="41">
        <v>151806</v>
      </c>
      <c r="Z12" s="40">
        <v>149698</v>
      </c>
      <c r="AA12" s="40">
        <v>146410</v>
      </c>
      <c r="AB12" s="40">
        <v>164387</v>
      </c>
      <c r="AC12" s="41">
        <v>174051</v>
      </c>
      <c r="AD12" s="40">
        <v>171835</v>
      </c>
      <c r="AE12" s="40">
        <v>176446</v>
      </c>
      <c r="AF12" s="40">
        <v>183846</v>
      </c>
      <c r="AG12" s="41">
        <v>187200</v>
      </c>
      <c r="AH12" s="7"/>
    </row>
    <row r="13" spans="1:34">
      <c r="A13" s="60" t="s">
        <v>97</v>
      </c>
      <c r="B13" s="38" t="s">
        <v>1</v>
      </c>
      <c r="C13" s="38" t="s">
        <v>1</v>
      </c>
      <c r="D13" s="38" t="s">
        <v>1</v>
      </c>
      <c r="E13" s="39" t="s">
        <v>1</v>
      </c>
      <c r="F13" s="38" t="s">
        <v>1</v>
      </c>
      <c r="G13" s="38" t="s">
        <v>1</v>
      </c>
      <c r="H13" s="38" t="s">
        <v>1</v>
      </c>
      <c r="I13" s="39" t="s">
        <v>1</v>
      </c>
      <c r="J13" s="38">
        <v>2160</v>
      </c>
      <c r="K13" s="38" t="s">
        <v>1</v>
      </c>
      <c r="L13" s="38" t="s">
        <v>1</v>
      </c>
      <c r="M13" s="39" t="s">
        <v>1</v>
      </c>
      <c r="N13" s="38" t="s">
        <v>1</v>
      </c>
      <c r="O13" s="38" t="s">
        <v>1</v>
      </c>
      <c r="P13" s="38" t="s">
        <v>1</v>
      </c>
      <c r="Q13" s="39" t="s">
        <v>1</v>
      </c>
      <c r="R13" s="40">
        <v>109444</v>
      </c>
      <c r="S13" s="40">
        <v>124640</v>
      </c>
      <c r="T13" s="40">
        <v>177515</v>
      </c>
      <c r="U13" s="41">
        <v>141201</v>
      </c>
      <c r="V13" s="40">
        <v>146967</v>
      </c>
      <c r="W13" s="40">
        <v>157396</v>
      </c>
      <c r="X13" s="40">
        <v>146347</v>
      </c>
      <c r="Y13" s="41">
        <v>191054</v>
      </c>
      <c r="Z13" s="40">
        <v>250127</v>
      </c>
      <c r="AA13" s="40">
        <v>275633</v>
      </c>
      <c r="AB13" s="40">
        <v>271172</v>
      </c>
      <c r="AC13" s="41">
        <v>302518</v>
      </c>
      <c r="AD13" s="40">
        <v>264677</v>
      </c>
      <c r="AE13" s="40">
        <v>300403</v>
      </c>
      <c r="AF13" s="40">
        <v>271794</v>
      </c>
      <c r="AG13" s="41">
        <v>387971</v>
      </c>
      <c r="AH13" s="7"/>
    </row>
    <row r="14" spans="1:34" ht="27.6">
      <c r="A14" s="60" t="s">
        <v>98</v>
      </c>
      <c r="B14" s="38" t="s">
        <v>1</v>
      </c>
      <c r="C14" s="38" t="s">
        <v>1</v>
      </c>
      <c r="D14" s="38" t="s">
        <v>1</v>
      </c>
      <c r="E14" s="39" t="s">
        <v>1</v>
      </c>
      <c r="F14" s="38" t="s">
        <v>1</v>
      </c>
      <c r="G14" s="38" t="s">
        <v>1</v>
      </c>
      <c r="H14" s="38" t="s">
        <v>1</v>
      </c>
      <c r="I14" s="39" t="s">
        <v>1</v>
      </c>
      <c r="J14" s="38" t="s">
        <v>1</v>
      </c>
      <c r="K14" s="38" t="s">
        <v>1</v>
      </c>
      <c r="L14" s="38" t="s">
        <v>1</v>
      </c>
      <c r="M14" s="39" t="s">
        <v>1</v>
      </c>
      <c r="N14" s="38" t="s">
        <v>1</v>
      </c>
      <c r="O14" s="38" t="s">
        <v>1</v>
      </c>
      <c r="P14" s="38" t="s">
        <v>1</v>
      </c>
      <c r="Q14" s="39" t="s">
        <v>1</v>
      </c>
      <c r="R14" s="40">
        <v>35097</v>
      </c>
      <c r="S14" s="40">
        <v>43068</v>
      </c>
      <c r="T14" s="40">
        <v>55675</v>
      </c>
      <c r="U14" s="41">
        <v>67187</v>
      </c>
      <c r="V14" s="40">
        <v>71299</v>
      </c>
      <c r="W14" s="40">
        <v>57035</v>
      </c>
      <c r="X14" s="40"/>
      <c r="Y14" s="41">
        <v>108911</v>
      </c>
      <c r="Z14" s="40">
        <v>103453</v>
      </c>
      <c r="AA14" s="40">
        <v>108258</v>
      </c>
      <c r="AB14" s="40">
        <v>165904</v>
      </c>
      <c r="AC14" s="41">
        <v>130528</v>
      </c>
      <c r="AD14" s="40">
        <v>192371</v>
      </c>
      <c r="AE14" s="40">
        <v>194215</v>
      </c>
      <c r="AF14" s="40">
        <v>234634</v>
      </c>
      <c r="AG14" s="41">
        <v>375539</v>
      </c>
      <c r="AH14" s="7"/>
    </row>
    <row r="15" spans="1:34">
      <c r="A15" s="60" t="s">
        <v>99</v>
      </c>
      <c r="B15" s="38" t="s">
        <v>1</v>
      </c>
      <c r="C15" s="38" t="s">
        <v>1</v>
      </c>
      <c r="D15" s="38" t="s">
        <v>1</v>
      </c>
      <c r="E15" s="39" t="s">
        <v>1</v>
      </c>
      <c r="F15" s="38" t="s">
        <v>1</v>
      </c>
      <c r="G15" s="38" t="s">
        <v>1</v>
      </c>
      <c r="H15" s="38" t="s">
        <v>1</v>
      </c>
      <c r="I15" s="39" t="s">
        <v>1</v>
      </c>
      <c r="J15" s="38" t="s">
        <v>1</v>
      </c>
      <c r="K15" s="38">
        <v>10341</v>
      </c>
      <c r="L15" s="38">
        <v>18997</v>
      </c>
      <c r="M15" s="39">
        <v>29101</v>
      </c>
      <c r="N15" s="38">
        <v>33576</v>
      </c>
      <c r="O15" s="38">
        <v>50390</v>
      </c>
      <c r="P15" s="38">
        <v>75221</v>
      </c>
      <c r="Q15" s="39">
        <v>114305</v>
      </c>
      <c r="R15" s="48" t="s">
        <v>1</v>
      </c>
      <c r="S15" s="48" t="s">
        <v>1</v>
      </c>
      <c r="T15" s="48" t="s">
        <v>1</v>
      </c>
      <c r="U15" s="49" t="s">
        <v>1</v>
      </c>
      <c r="V15" s="48" t="s">
        <v>1</v>
      </c>
      <c r="W15" s="48" t="s">
        <v>1</v>
      </c>
      <c r="X15" s="48" t="s">
        <v>1</v>
      </c>
      <c r="Y15" s="49" t="s">
        <v>1</v>
      </c>
      <c r="Z15" s="48" t="s">
        <v>1</v>
      </c>
      <c r="AA15" s="48" t="s">
        <v>1</v>
      </c>
      <c r="AB15" s="48" t="s">
        <v>1</v>
      </c>
      <c r="AC15" s="49" t="s">
        <v>1</v>
      </c>
      <c r="AD15" s="48" t="s">
        <v>1</v>
      </c>
      <c r="AE15" s="48" t="s">
        <v>1</v>
      </c>
      <c r="AF15" s="48" t="s">
        <v>1</v>
      </c>
      <c r="AG15" s="49" t="s">
        <v>1</v>
      </c>
      <c r="AH15" s="7"/>
    </row>
    <row r="16" spans="1:34" ht="27.6">
      <c r="A16" s="60" t="s">
        <v>100</v>
      </c>
      <c r="B16" s="46" t="s">
        <v>1</v>
      </c>
      <c r="C16" s="46" t="s">
        <v>1</v>
      </c>
      <c r="D16" s="46" t="s">
        <v>1</v>
      </c>
      <c r="E16" s="47" t="s">
        <v>1</v>
      </c>
      <c r="F16" s="46" t="s">
        <v>1</v>
      </c>
      <c r="G16" s="46" t="s">
        <v>1</v>
      </c>
      <c r="H16" s="46" t="s">
        <v>1</v>
      </c>
      <c r="I16" s="47">
        <v>1027</v>
      </c>
      <c r="J16" s="46">
        <v>1195</v>
      </c>
      <c r="K16" s="46">
        <v>4904</v>
      </c>
      <c r="L16" s="46">
        <v>8173</v>
      </c>
      <c r="M16" s="47">
        <v>7314</v>
      </c>
      <c r="N16" s="46">
        <v>14413</v>
      </c>
      <c r="O16" s="46">
        <v>17397</v>
      </c>
      <c r="P16" s="46">
        <v>23866</v>
      </c>
      <c r="Q16" s="47">
        <v>27518</v>
      </c>
      <c r="R16" s="40" t="s">
        <v>1</v>
      </c>
      <c r="S16" s="40" t="s">
        <v>1</v>
      </c>
      <c r="T16" s="40" t="s">
        <v>1</v>
      </c>
      <c r="U16" s="41" t="s">
        <v>1</v>
      </c>
      <c r="V16" s="40" t="s">
        <v>1</v>
      </c>
      <c r="W16" s="40" t="s">
        <v>1</v>
      </c>
      <c r="X16" s="40" t="s">
        <v>1</v>
      </c>
      <c r="Y16" s="41" t="s">
        <v>1</v>
      </c>
      <c r="Z16" s="40" t="s">
        <v>1</v>
      </c>
      <c r="AA16" s="40" t="s">
        <v>1</v>
      </c>
      <c r="AB16" s="40" t="s">
        <v>1</v>
      </c>
      <c r="AC16" s="41" t="s">
        <v>1</v>
      </c>
      <c r="AD16" s="40" t="s">
        <v>1</v>
      </c>
      <c r="AE16" s="40" t="s">
        <v>1</v>
      </c>
      <c r="AF16" s="40" t="s">
        <v>1</v>
      </c>
      <c r="AG16" s="41" t="s">
        <v>1</v>
      </c>
      <c r="AH16" s="7"/>
    </row>
    <row r="17" spans="1:34" ht="27.6">
      <c r="A17" s="60" t="s">
        <v>101</v>
      </c>
      <c r="B17" s="38" t="s">
        <v>1</v>
      </c>
      <c r="C17" s="38" t="s">
        <v>1</v>
      </c>
      <c r="D17" s="38" t="s">
        <v>1</v>
      </c>
      <c r="E17" s="39" t="s">
        <v>1</v>
      </c>
      <c r="F17" s="38" t="s">
        <v>1</v>
      </c>
      <c r="G17" s="38" t="s">
        <v>1</v>
      </c>
      <c r="H17" s="38" t="s">
        <v>1</v>
      </c>
      <c r="I17" s="39" t="s">
        <v>1</v>
      </c>
      <c r="J17" s="38" t="s">
        <v>1</v>
      </c>
      <c r="K17" s="38" t="s">
        <v>1</v>
      </c>
      <c r="L17" s="38" t="s">
        <v>1</v>
      </c>
      <c r="M17" s="39" t="s">
        <v>1</v>
      </c>
      <c r="N17" s="38" t="s">
        <v>1</v>
      </c>
      <c r="O17" s="38" t="s">
        <v>1</v>
      </c>
      <c r="P17" s="38" t="s">
        <v>1</v>
      </c>
      <c r="Q17" s="39" t="s">
        <v>1</v>
      </c>
      <c r="R17" s="40" t="s">
        <v>1</v>
      </c>
      <c r="S17" s="40" t="s">
        <v>1</v>
      </c>
      <c r="T17" s="40" t="s">
        <v>1</v>
      </c>
      <c r="U17" s="41" t="s">
        <v>1</v>
      </c>
      <c r="V17" s="40" t="s">
        <v>1</v>
      </c>
      <c r="W17" s="40">
        <v>515940</v>
      </c>
      <c r="X17" s="40">
        <v>493144</v>
      </c>
      <c r="Y17" s="41">
        <v>537047</v>
      </c>
      <c r="Z17" s="40">
        <v>589861</v>
      </c>
      <c r="AA17" s="40">
        <v>638009</v>
      </c>
      <c r="AB17" s="40">
        <v>765023</v>
      </c>
      <c r="AC17" s="41">
        <v>764430</v>
      </c>
      <c r="AD17" s="40">
        <v>839641</v>
      </c>
      <c r="AE17" s="40">
        <v>901418</v>
      </c>
      <c r="AF17" s="40">
        <v>908247</v>
      </c>
      <c r="AG17" s="41">
        <v>1345278</v>
      </c>
      <c r="AH17" s="7"/>
    </row>
    <row r="18" spans="1:34">
      <c r="A18" s="64" t="s">
        <v>102</v>
      </c>
      <c r="B18" s="42" t="s">
        <v>1</v>
      </c>
      <c r="C18" s="42" t="s">
        <v>1</v>
      </c>
      <c r="D18" s="42" t="s">
        <v>1</v>
      </c>
      <c r="E18" s="43" t="s">
        <v>1</v>
      </c>
      <c r="F18" s="42" t="s">
        <v>1</v>
      </c>
      <c r="G18" s="42" t="s">
        <v>1</v>
      </c>
      <c r="H18" s="42" t="s">
        <v>1</v>
      </c>
      <c r="I18" s="43" t="s">
        <v>1</v>
      </c>
      <c r="J18" s="42" t="s">
        <v>1</v>
      </c>
      <c r="K18" s="42" t="s">
        <v>1</v>
      </c>
      <c r="L18" s="42" t="s">
        <v>1</v>
      </c>
      <c r="M18" s="43" t="s">
        <v>1</v>
      </c>
      <c r="N18" s="42" t="s">
        <v>1</v>
      </c>
      <c r="O18" s="42" t="s">
        <v>1</v>
      </c>
      <c r="P18" s="42" t="s">
        <v>1</v>
      </c>
      <c r="Q18" s="43" t="s">
        <v>1</v>
      </c>
      <c r="R18" s="42">
        <v>248100</v>
      </c>
      <c r="S18" s="42">
        <v>240453</v>
      </c>
      <c r="T18" s="42">
        <v>278328</v>
      </c>
      <c r="U18" s="43">
        <v>326512</v>
      </c>
      <c r="V18" s="42">
        <v>271723</v>
      </c>
      <c r="W18" s="42">
        <v>319789</v>
      </c>
      <c r="X18" s="42">
        <v>498046</v>
      </c>
      <c r="Y18" s="43">
        <v>444389</v>
      </c>
      <c r="Z18" s="42">
        <v>451511</v>
      </c>
      <c r="AA18" s="42">
        <v>668661</v>
      </c>
      <c r="AB18" s="42">
        <v>669596</v>
      </c>
      <c r="AC18" s="43">
        <v>683170</v>
      </c>
      <c r="AD18" s="42">
        <v>834876</v>
      </c>
      <c r="AE18" s="42">
        <v>921505</v>
      </c>
      <c r="AF18" s="42">
        <v>1030373</v>
      </c>
      <c r="AG18" s="43">
        <v>948117</v>
      </c>
      <c r="AH18" s="7"/>
    </row>
    <row r="19" spans="1:34" s="18" customFormat="1">
      <c r="A19" s="58" t="s">
        <v>44</v>
      </c>
      <c r="B19" s="53" t="s">
        <v>1</v>
      </c>
      <c r="C19" s="53" t="s">
        <v>1</v>
      </c>
      <c r="D19" s="53" t="s">
        <v>1</v>
      </c>
      <c r="E19" s="55" t="s">
        <v>1</v>
      </c>
      <c r="F19" s="53" t="s">
        <v>1</v>
      </c>
      <c r="G19" s="53" t="s">
        <v>1</v>
      </c>
      <c r="H19" s="53" t="s">
        <v>1</v>
      </c>
      <c r="I19" s="55">
        <f t="shared" ref="I19:AG19" si="0">SUM(I6:I18)</f>
        <v>4359</v>
      </c>
      <c r="J19" s="53">
        <f t="shared" si="0"/>
        <v>199589</v>
      </c>
      <c r="K19" s="53">
        <f t="shared" si="0"/>
        <v>694376</v>
      </c>
      <c r="L19" s="53">
        <f t="shared" si="0"/>
        <v>1604929</v>
      </c>
      <c r="M19" s="55">
        <f t="shared" si="0"/>
        <v>3805515</v>
      </c>
      <c r="N19" s="53">
        <f t="shared" si="0"/>
        <v>5056180</v>
      </c>
      <c r="O19" s="53">
        <f t="shared" si="0"/>
        <v>7475410</v>
      </c>
      <c r="P19" s="53">
        <f t="shared" si="0"/>
        <v>9544601</v>
      </c>
      <c r="Q19" s="55">
        <f t="shared" si="0"/>
        <v>12102260</v>
      </c>
      <c r="R19" s="53">
        <f t="shared" si="0"/>
        <v>13394421</v>
      </c>
      <c r="S19" s="53">
        <f t="shared" si="0"/>
        <v>16548858</v>
      </c>
      <c r="T19" s="53">
        <f t="shared" si="0"/>
        <v>17177907</v>
      </c>
      <c r="U19" s="55">
        <f t="shared" si="0"/>
        <v>19428286</v>
      </c>
      <c r="V19" s="53">
        <f t="shared" si="0"/>
        <v>21848172</v>
      </c>
      <c r="W19" s="53">
        <f t="shared" si="0"/>
        <v>22515852</v>
      </c>
      <c r="X19" s="53">
        <f t="shared" si="0"/>
        <v>25286708</v>
      </c>
      <c r="Y19" s="55">
        <f t="shared" si="0"/>
        <v>28388091</v>
      </c>
      <c r="Z19" s="53">
        <f t="shared" si="0"/>
        <v>30157573</v>
      </c>
      <c r="AA19" s="53">
        <f t="shared" si="0"/>
        <v>39251102</v>
      </c>
      <c r="AB19" s="53">
        <f t="shared" si="0"/>
        <v>48659028</v>
      </c>
      <c r="AC19" s="55">
        <f t="shared" si="0"/>
        <v>48359062</v>
      </c>
      <c r="AD19" s="53">
        <f t="shared" si="0"/>
        <v>51976720</v>
      </c>
      <c r="AE19" s="53">
        <f t="shared" si="0"/>
        <v>61434008</v>
      </c>
      <c r="AF19" s="53">
        <f t="shared" si="0"/>
        <v>65103640</v>
      </c>
      <c r="AG19" s="55">
        <f t="shared" si="0"/>
        <v>92137367</v>
      </c>
      <c r="AH19" s="14"/>
    </row>
    <row r="20" spans="1:34" s="33" customFormat="1">
      <c r="A20" s="145" t="s">
        <v>45</v>
      </c>
      <c r="B20" s="44" t="s">
        <v>1</v>
      </c>
      <c r="C20" s="44" t="s">
        <v>1</v>
      </c>
      <c r="D20" s="44" t="s">
        <v>1</v>
      </c>
      <c r="E20" s="45" t="s">
        <v>1</v>
      </c>
      <c r="F20" s="44" t="s">
        <v>1</v>
      </c>
      <c r="G20" s="44" t="s">
        <v>1</v>
      </c>
      <c r="H20" s="44" t="s">
        <v>1</v>
      </c>
      <c r="I20" s="45">
        <f t="shared" ref="I20:AG20" si="1">I19+I4</f>
        <v>862030</v>
      </c>
      <c r="J20" s="44">
        <f t="shared" si="1"/>
        <v>1057110</v>
      </c>
      <c r="K20" s="44">
        <f t="shared" si="1"/>
        <v>1554402</v>
      </c>
      <c r="L20" s="44">
        <f t="shared" si="1"/>
        <v>2471171</v>
      </c>
      <c r="M20" s="45">
        <f t="shared" si="1"/>
        <v>4681933</v>
      </c>
      <c r="N20" s="44">
        <f t="shared" si="1"/>
        <v>5955759</v>
      </c>
      <c r="O20" s="44">
        <f t="shared" si="1"/>
        <v>8398947</v>
      </c>
      <c r="P20" s="44">
        <f t="shared" si="1"/>
        <v>10507014</v>
      </c>
      <c r="Q20" s="45">
        <f t="shared" si="1"/>
        <v>13210145</v>
      </c>
      <c r="R20" s="44">
        <f t="shared" si="1"/>
        <v>14548121</v>
      </c>
      <c r="S20" s="44">
        <f t="shared" si="1"/>
        <v>17741365</v>
      </c>
      <c r="T20" s="44">
        <f t="shared" si="1"/>
        <v>18591136</v>
      </c>
      <c r="U20" s="45">
        <f t="shared" si="1"/>
        <v>20955512</v>
      </c>
      <c r="V20" s="44">
        <f t="shared" si="1"/>
        <v>23416142</v>
      </c>
      <c r="W20" s="44">
        <f t="shared" si="1"/>
        <v>24202018</v>
      </c>
      <c r="X20" s="44">
        <f t="shared" si="1"/>
        <v>27128600</v>
      </c>
      <c r="Y20" s="45">
        <f t="shared" si="1"/>
        <v>30348784</v>
      </c>
      <c r="Z20" s="44">
        <f t="shared" si="1"/>
        <v>34391387</v>
      </c>
      <c r="AA20" s="44">
        <f t="shared" si="1"/>
        <v>43744076</v>
      </c>
      <c r="AB20" s="44">
        <f t="shared" si="1"/>
        <v>53293774</v>
      </c>
      <c r="AC20" s="45">
        <f t="shared" si="1"/>
        <v>53157628</v>
      </c>
      <c r="AD20" s="44">
        <f t="shared" si="1"/>
        <v>59400946</v>
      </c>
      <c r="AE20" s="44">
        <f t="shared" si="1"/>
        <v>69238893</v>
      </c>
      <c r="AF20" s="44">
        <f t="shared" si="1"/>
        <v>73215553</v>
      </c>
      <c r="AG20" s="45">
        <f t="shared" si="1"/>
        <v>100757086</v>
      </c>
      <c r="AH20" s="52"/>
    </row>
    <row r="21" spans="1:34" s="33" customFormat="1" ht="20.399999999999999">
      <c r="A21" s="82" t="s">
        <v>136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</row>
    <row r="22" spans="1:34">
      <c r="A22" s="79" t="s">
        <v>41</v>
      </c>
      <c r="B22" s="2" t="s">
        <v>1</v>
      </c>
      <c r="C22" s="2" t="s">
        <v>1</v>
      </c>
      <c r="D22" s="2" t="s">
        <v>1</v>
      </c>
      <c r="E22" s="17" t="s">
        <v>1</v>
      </c>
      <c r="F22" s="2" t="s">
        <v>1</v>
      </c>
      <c r="G22" s="2" t="s">
        <v>1</v>
      </c>
      <c r="H22" s="2" t="s">
        <v>1</v>
      </c>
      <c r="I22" s="17"/>
      <c r="J22" s="2">
        <v>281.18</v>
      </c>
      <c r="K22" s="2">
        <v>82.3</v>
      </c>
      <c r="L22" s="2">
        <v>48.46</v>
      </c>
      <c r="M22" s="17">
        <v>29.25</v>
      </c>
      <c r="N22" s="2">
        <v>20.94</v>
      </c>
      <c r="O22" s="2">
        <v>16.920000000000002</v>
      </c>
      <c r="P22" s="2">
        <v>15.24</v>
      </c>
      <c r="Q22" s="17">
        <v>14.09</v>
      </c>
      <c r="R22" s="2">
        <v>13.22</v>
      </c>
      <c r="S22" s="2">
        <v>12.17</v>
      </c>
      <c r="T22" s="2">
        <v>16.13</v>
      </c>
      <c r="U22" s="17">
        <v>13.6</v>
      </c>
      <c r="V22" s="2">
        <v>12.17</v>
      </c>
      <c r="W22" s="2">
        <v>15.69</v>
      </c>
      <c r="X22" s="2">
        <v>15.27</v>
      </c>
      <c r="Y22" s="17">
        <v>14.88</v>
      </c>
      <c r="Z22" s="2">
        <v>23.97</v>
      </c>
      <c r="AA22" s="2">
        <v>21.68</v>
      </c>
      <c r="AB22" s="2">
        <v>19.239999999999998</v>
      </c>
      <c r="AC22" s="17">
        <v>18.47</v>
      </c>
      <c r="AD22" s="2">
        <v>22.84</v>
      </c>
      <c r="AE22" s="2">
        <v>21.08</v>
      </c>
      <c r="AF22" s="2">
        <v>21.13</v>
      </c>
      <c r="AG22" s="17">
        <v>18.29</v>
      </c>
    </row>
    <row r="23" spans="1:34">
      <c r="A23" s="79" t="s">
        <v>62</v>
      </c>
      <c r="B23" s="2" t="s">
        <v>1</v>
      </c>
      <c r="C23" s="2" t="s">
        <v>1</v>
      </c>
      <c r="D23" s="2" t="s">
        <v>1</v>
      </c>
      <c r="E23" s="17" t="s">
        <v>1</v>
      </c>
      <c r="F23" s="2" t="s">
        <v>1</v>
      </c>
      <c r="G23" s="2" t="s">
        <v>1</v>
      </c>
      <c r="H23" s="2" t="s">
        <v>1</v>
      </c>
      <c r="I23" s="17">
        <f t="shared" ref="I23:AG23" si="2">I4/I20*100</f>
        <v>99.4943331438581</v>
      </c>
      <c r="J23" s="2">
        <f t="shared" si="2"/>
        <v>81.119372629149282</v>
      </c>
      <c r="K23" s="2">
        <f t="shared" si="2"/>
        <v>55.328415686546982</v>
      </c>
      <c r="L23" s="2">
        <f t="shared" si="2"/>
        <v>35.053907641357071</v>
      </c>
      <c r="M23" s="17">
        <f t="shared" si="2"/>
        <v>18.719148693499033</v>
      </c>
      <c r="N23" s="2">
        <f t="shared" si="2"/>
        <v>15.104355297116623</v>
      </c>
      <c r="O23" s="2">
        <f t="shared" si="2"/>
        <v>10.995866505646482</v>
      </c>
      <c r="P23" s="2">
        <f t="shared" si="2"/>
        <v>9.1597194026771067</v>
      </c>
      <c r="Q23" s="17">
        <f t="shared" si="2"/>
        <v>8.3866225541051964</v>
      </c>
      <c r="R23" s="2">
        <f t="shared" si="2"/>
        <v>7.9302337394636737</v>
      </c>
      <c r="S23" s="2">
        <f t="shared" si="2"/>
        <v>6.7216192215198767</v>
      </c>
      <c r="T23" s="2">
        <f t="shared" si="2"/>
        <v>7.6016280016455147</v>
      </c>
      <c r="U23" s="17">
        <f t="shared" si="2"/>
        <v>7.2879440979537984</v>
      </c>
      <c r="V23" s="2">
        <f t="shared" si="2"/>
        <v>6.6961073263050759</v>
      </c>
      <c r="W23" s="2">
        <f t="shared" si="2"/>
        <v>6.9670471280535367</v>
      </c>
      <c r="X23" s="2">
        <f t="shared" si="2"/>
        <v>6.7894841606275289</v>
      </c>
      <c r="Y23" s="17">
        <f t="shared" si="2"/>
        <v>6.4605323231401961</v>
      </c>
      <c r="Z23" s="2">
        <f t="shared" si="2"/>
        <v>12.31068115979155</v>
      </c>
      <c r="AA23" s="2">
        <f t="shared" si="2"/>
        <v>10.271045615410873</v>
      </c>
      <c r="AB23" s="2">
        <f t="shared" si="2"/>
        <v>8.6965993438558122</v>
      </c>
      <c r="AC23" s="17">
        <f t="shared" si="2"/>
        <v>9.0270506426659978</v>
      </c>
      <c r="AD23" s="2">
        <f t="shared" si="2"/>
        <v>12.498497919544919</v>
      </c>
      <c r="AE23" s="2">
        <f t="shared" si="2"/>
        <v>11.272400036782795</v>
      </c>
      <c r="AF23" s="2">
        <f t="shared" si="2"/>
        <v>11.079494270841607</v>
      </c>
      <c r="AG23" s="17">
        <f t="shared" si="2"/>
        <v>8.5549506661992982</v>
      </c>
    </row>
    <row r="24" spans="1:34">
      <c r="A24" s="79" t="s">
        <v>46</v>
      </c>
      <c r="B24" s="2" t="s">
        <v>1</v>
      </c>
      <c r="C24" s="2" t="s">
        <v>1</v>
      </c>
      <c r="D24" s="2" t="s">
        <v>1</v>
      </c>
      <c r="E24" s="17" t="s">
        <v>1</v>
      </c>
      <c r="F24" s="2" t="s">
        <v>1</v>
      </c>
      <c r="G24" s="2" t="s">
        <v>1</v>
      </c>
      <c r="H24" s="2" t="s">
        <v>1</v>
      </c>
      <c r="I24" s="17">
        <f t="shared" ref="I24:AG24" si="3">I19/I4</f>
        <v>5.082368413995576E-3</v>
      </c>
      <c r="J24" s="2">
        <f t="shared" si="3"/>
        <v>0.23275115128375864</v>
      </c>
      <c r="K24" s="2">
        <f t="shared" si="3"/>
        <v>0.80738954403704077</v>
      </c>
      <c r="L24" s="2">
        <f t="shared" si="3"/>
        <v>1.8527490008565735</v>
      </c>
      <c r="M24" s="17">
        <f t="shared" si="3"/>
        <v>4.3421232790745972</v>
      </c>
      <c r="N24" s="2">
        <f t="shared" si="3"/>
        <v>5.6206069728172849</v>
      </c>
      <c r="O24" s="2">
        <f t="shared" si="3"/>
        <v>8.0943264861072155</v>
      </c>
      <c r="P24" s="2">
        <f t="shared" si="3"/>
        <v>9.9173649981868497</v>
      </c>
      <c r="Q24" s="17">
        <f t="shared" si="3"/>
        <v>10.923751111351811</v>
      </c>
      <c r="R24" s="2">
        <f t="shared" si="3"/>
        <v>11.6099687960475</v>
      </c>
      <c r="S24" s="2">
        <f t="shared" si="3"/>
        <v>13.877367596165055</v>
      </c>
      <c r="T24" s="2">
        <f t="shared" si="3"/>
        <v>12.155076778073475</v>
      </c>
      <c r="U24" s="17">
        <f t="shared" si="3"/>
        <v>12.721290758538684</v>
      </c>
      <c r="V24" s="2">
        <f t="shared" si="3"/>
        <v>13.934049758605076</v>
      </c>
      <c r="W24" s="2">
        <f t="shared" si="3"/>
        <v>13.353283128707375</v>
      </c>
      <c r="X24" s="2">
        <f t="shared" si="3"/>
        <v>13.728659443659021</v>
      </c>
      <c r="Y24" s="17">
        <f t="shared" si="3"/>
        <v>14.478600678433594</v>
      </c>
      <c r="Z24" s="2">
        <f t="shared" si="3"/>
        <v>7.1230273696482653</v>
      </c>
      <c r="AA24" s="2">
        <f t="shared" si="3"/>
        <v>8.7361070863085342</v>
      </c>
      <c r="AB24" s="2">
        <f t="shared" si="3"/>
        <v>10.498747504178223</v>
      </c>
      <c r="AC24" s="17">
        <f t="shared" si="3"/>
        <v>10.07781533066337</v>
      </c>
      <c r="AD24" s="2">
        <f t="shared" si="3"/>
        <v>7.0009614470249151</v>
      </c>
      <c r="AE24" s="2">
        <f t="shared" si="3"/>
        <v>7.8712252646899987</v>
      </c>
      <c r="AF24" s="2">
        <f t="shared" si="3"/>
        <v>8.0256827212027542</v>
      </c>
      <c r="AG24" s="17">
        <f t="shared" si="3"/>
        <v>10.689138126196458</v>
      </c>
    </row>
    <row r="25" spans="1:34">
      <c r="A25" s="79" t="s">
        <v>47</v>
      </c>
      <c r="B25" s="2" t="s">
        <v>1</v>
      </c>
      <c r="C25" s="2" t="s">
        <v>1</v>
      </c>
      <c r="D25" s="2" t="s">
        <v>1</v>
      </c>
      <c r="E25" s="17" t="s">
        <v>1</v>
      </c>
      <c r="F25" s="2" t="s">
        <v>1</v>
      </c>
      <c r="G25" s="2" t="s">
        <v>1</v>
      </c>
      <c r="H25" s="2" t="s">
        <v>1</v>
      </c>
      <c r="I25" s="17">
        <f t="shared" ref="I25:AG25" si="4">I20/I4</f>
        <v>1.0050823684139956</v>
      </c>
      <c r="J25" s="2">
        <f t="shared" si="4"/>
        <v>1.2327511512837586</v>
      </c>
      <c r="K25" s="2">
        <f t="shared" si="4"/>
        <v>1.8073895440370407</v>
      </c>
      <c r="L25" s="2">
        <f t="shared" si="4"/>
        <v>2.8527490008565737</v>
      </c>
      <c r="M25" s="17">
        <f t="shared" si="4"/>
        <v>5.3421232790745972</v>
      </c>
      <c r="N25" s="2">
        <f t="shared" si="4"/>
        <v>6.6206069728172849</v>
      </c>
      <c r="O25" s="2">
        <f t="shared" si="4"/>
        <v>9.0943264861072155</v>
      </c>
      <c r="P25" s="2">
        <f t="shared" si="4"/>
        <v>10.91736499818685</v>
      </c>
      <c r="Q25" s="17">
        <f t="shared" si="4"/>
        <v>11.923751111351811</v>
      </c>
      <c r="R25" s="2">
        <f t="shared" si="4"/>
        <v>12.6099687960475</v>
      </c>
      <c r="S25" s="2">
        <f t="shared" si="4"/>
        <v>14.877367596165055</v>
      </c>
      <c r="T25" s="2">
        <f t="shared" si="4"/>
        <v>13.155076778073475</v>
      </c>
      <c r="U25" s="17">
        <f t="shared" si="4"/>
        <v>13.721290758538684</v>
      </c>
      <c r="V25" s="2">
        <f t="shared" si="4"/>
        <v>14.934049758605076</v>
      </c>
      <c r="W25" s="2">
        <f t="shared" si="4"/>
        <v>14.353283128707375</v>
      </c>
      <c r="X25" s="2">
        <f t="shared" si="4"/>
        <v>14.728659443659021</v>
      </c>
      <c r="Y25" s="17">
        <f t="shared" si="4"/>
        <v>15.478600678433594</v>
      </c>
      <c r="Z25" s="2">
        <f t="shared" si="4"/>
        <v>8.1230273696482644</v>
      </c>
      <c r="AA25" s="2">
        <f t="shared" si="4"/>
        <v>9.7361070863085342</v>
      </c>
      <c r="AB25" s="2">
        <f t="shared" si="4"/>
        <v>11.498747504178223</v>
      </c>
      <c r="AC25" s="17">
        <f t="shared" si="4"/>
        <v>11.07781533066337</v>
      </c>
      <c r="AD25" s="2">
        <f t="shared" si="4"/>
        <v>8.0009614470249151</v>
      </c>
      <c r="AE25" s="2">
        <f t="shared" si="4"/>
        <v>8.8712252646899987</v>
      </c>
      <c r="AF25" s="2">
        <f t="shared" si="4"/>
        <v>9.0256827212027542</v>
      </c>
      <c r="AG25" s="17">
        <f t="shared" si="4"/>
        <v>11.689138126196458</v>
      </c>
    </row>
    <row r="26" spans="1:34" s="16" customFormat="1">
      <c r="A26" s="79" t="s">
        <v>63</v>
      </c>
      <c r="B26" s="15" t="s">
        <v>1</v>
      </c>
      <c r="C26" s="15" t="s">
        <v>1</v>
      </c>
      <c r="D26" s="15" t="s">
        <v>1</v>
      </c>
      <c r="E26" s="8" t="s">
        <v>1</v>
      </c>
      <c r="F26" s="15" t="s">
        <v>1</v>
      </c>
      <c r="G26" s="15" t="s">
        <v>1</v>
      </c>
      <c r="H26" s="15" t="s">
        <v>1</v>
      </c>
      <c r="I26" s="8">
        <f t="shared" ref="I26:AG26" si="5">I4/I19*100</f>
        <v>19675.866024317504</v>
      </c>
      <c r="J26" s="15">
        <f t="shared" si="5"/>
        <v>429.64341722239203</v>
      </c>
      <c r="K26" s="15">
        <f t="shared" si="5"/>
        <v>123.85595124255447</v>
      </c>
      <c r="L26" s="15">
        <f t="shared" si="5"/>
        <v>53.97385180279003</v>
      </c>
      <c r="M26" s="8">
        <f t="shared" si="5"/>
        <v>23.030207475203753</v>
      </c>
      <c r="N26" s="15">
        <f t="shared" si="5"/>
        <v>17.791672764814546</v>
      </c>
      <c r="O26" s="15">
        <f t="shared" si="5"/>
        <v>12.354332404510254</v>
      </c>
      <c r="P26" s="15">
        <f t="shared" si="5"/>
        <v>10.083323545950218</v>
      </c>
      <c r="Q26" s="8">
        <f t="shared" si="5"/>
        <v>9.1543645567026317</v>
      </c>
      <c r="R26" s="15">
        <f t="shared" si="5"/>
        <v>8.6132875769695456</v>
      </c>
      <c r="S26" s="15">
        <f t="shared" si="5"/>
        <v>7.2059775967622652</v>
      </c>
      <c r="T26" s="15">
        <f t="shared" si="5"/>
        <v>8.2270150839680305</v>
      </c>
      <c r="U26" s="8">
        <f t="shared" si="5"/>
        <v>7.8608375437750917</v>
      </c>
      <c r="V26" s="15">
        <f t="shared" si="5"/>
        <v>7.1766644825022432</v>
      </c>
      <c r="W26" s="15">
        <f t="shared" si="5"/>
        <v>7.4887950054033041</v>
      </c>
      <c r="X26" s="15">
        <f t="shared" si="5"/>
        <v>7.2840323857103106</v>
      </c>
      <c r="Y26" s="8">
        <f t="shared" si="5"/>
        <v>6.9067448036572801</v>
      </c>
      <c r="Z26" s="15">
        <f t="shared" si="5"/>
        <v>14.038974555412665</v>
      </c>
      <c r="AA26" s="15">
        <f t="shared" si="5"/>
        <v>11.446746132121335</v>
      </c>
      <c r="AB26" s="15">
        <f t="shared" si="5"/>
        <v>9.5249457099718473</v>
      </c>
      <c r="AC26" s="8">
        <f t="shared" si="5"/>
        <v>9.9227855163940113</v>
      </c>
      <c r="AD26" s="15">
        <f t="shared" si="5"/>
        <v>14.283752418390385</v>
      </c>
      <c r="AE26" s="15">
        <f t="shared" si="5"/>
        <v>12.704502366181286</v>
      </c>
      <c r="AF26" s="15">
        <f t="shared" si="5"/>
        <v>12.45999916440924</v>
      </c>
      <c r="AG26" s="9">
        <f t="shared" si="5"/>
        <v>9.3552912142583811</v>
      </c>
    </row>
  </sheetData>
  <mergeCells count="33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AE1:AE2"/>
    <mergeCell ref="AF1:AF2"/>
    <mergeCell ref="AG1:AG2"/>
    <mergeCell ref="Z1:Z2"/>
    <mergeCell ref="AA1:AA2"/>
    <mergeCell ref="AB1:AB2"/>
    <mergeCell ref="AC1:AC2"/>
    <mergeCell ref="AD1:AD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3A848-0D2B-4D32-B5C6-0BB33E322D63}">
  <dimension ref="A1:J43"/>
  <sheetViews>
    <sheetView zoomScale="70" zoomScaleNormal="70" workbookViewId="0">
      <pane xSplit="1" topLeftCell="B1" activePane="topRight" state="frozen"/>
      <selection pane="topRight" activeCell="D52" sqref="D52"/>
    </sheetView>
  </sheetViews>
  <sheetFormatPr defaultRowHeight="13.8"/>
  <cols>
    <col min="1" max="1" width="49.33203125" style="94" customWidth="1"/>
    <col min="2" max="2" width="12.44140625" style="94" bestFit="1" customWidth="1"/>
    <col min="3" max="3" width="15.6640625" style="94" bestFit="1" customWidth="1"/>
    <col min="4" max="5" width="12.44140625" style="94" bestFit="1" customWidth="1"/>
    <col min="6" max="6" width="12" style="94" bestFit="1" customWidth="1"/>
    <col min="7" max="8" width="12.44140625" style="94" bestFit="1" customWidth="1"/>
    <col min="9" max="9" width="12.88671875" style="94" bestFit="1" customWidth="1"/>
    <col min="10" max="10" width="14.6640625" style="94" bestFit="1" customWidth="1"/>
    <col min="11" max="16384" width="8.88671875" style="94"/>
  </cols>
  <sheetData>
    <row r="1" spans="1:10" ht="22.8" customHeight="1">
      <c r="A1" s="373" t="s">
        <v>4</v>
      </c>
      <c r="B1" s="367">
        <v>2014</v>
      </c>
      <c r="C1" s="367">
        <v>2015</v>
      </c>
      <c r="D1" s="367">
        <v>2016</v>
      </c>
      <c r="E1" s="367">
        <v>2017</v>
      </c>
      <c r="F1" s="367">
        <v>2018</v>
      </c>
      <c r="G1" s="367">
        <v>2019</v>
      </c>
      <c r="H1" s="367">
        <v>2020</v>
      </c>
      <c r="I1" s="369">
        <v>2021</v>
      </c>
      <c r="J1" s="371" t="s">
        <v>124</v>
      </c>
    </row>
    <row r="2" spans="1:10" ht="14.4" thickBot="1">
      <c r="A2" s="374"/>
      <c r="B2" s="368"/>
      <c r="C2" s="368"/>
      <c r="D2" s="368"/>
      <c r="E2" s="368"/>
      <c r="F2" s="368"/>
      <c r="G2" s="368"/>
      <c r="H2" s="368"/>
      <c r="I2" s="370"/>
      <c r="J2" s="372"/>
    </row>
    <row r="3" spans="1:10" ht="20.399999999999999">
      <c r="A3" s="87" t="s">
        <v>135</v>
      </c>
      <c r="B3" s="95"/>
      <c r="C3" s="95"/>
      <c r="D3" s="95"/>
      <c r="E3" s="95"/>
      <c r="F3" s="95"/>
      <c r="G3" s="95"/>
      <c r="H3" s="95"/>
      <c r="I3" s="96"/>
      <c r="J3" s="97"/>
    </row>
    <row r="4" spans="1:10">
      <c r="A4" s="98" t="s">
        <v>155</v>
      </c>
      <c r="B4" s="150" t="s">
        <v>1</v>
      </c>
      <c r="C4" s="150" t="s">
        <v>1</v>
      </c>
      <c r="D4" s="150" t="s">
        <v>1</v>
      </c>
      <c r="E4" s="150" t="s">
        <v>1</v>
      </c>
      <c r="F4" s="148">
        <v>6</v>
      </c>
      <c r="G4" s="148">
        <v>784075</v>
      </c>
      <c r="H4" s="148">
        <v>2267097</v>
      </c>
      <c r="I4" s="149">
        <v>6236435</v>
      </c>
      <c r="J4" s="97">
        <f>AVERAGE(B4:I4)</f>
        <v>2321903.25</v>
      </c>
    </row>
    <row r="5" spans="1:10">
      <c r="A5" s="170" t="s">
        <v>156</v>
      </c>
      <c r="B5" s="150" t="s">
        <v>1</v>
      </c>
      <c r="C5" s="150" t="s">
        <v>1</v>
      </c>
      <c r="D5" s="150" t="s">
        <v>1</v>
      </c>
      <c r="E5" s="150" t="s">
        <v>1</v>
      </c>
      <c r="F5" s="148">
        <v>657595</v>
      </c>
      <c r="G5" s="148">
        <v>162057</v>
      </c>
      <c r="H5" s="148">
        <v>910842</v>
      </c>
      <c r="I5" s="149">
        <v>1533115</v>
      </c>
      <c r="J5" s="97">
        <f t="shared" ref="J5:J25" si="0">AVERAGE(B5:I5)</f>
        <v>815902.25</v>
      </c>
    </row>
    <row r="6" spans="1:10" ht="26.4">
      <c r="A6" s="170" t="s">
        <v>157</v>
      </c>
      <c r="B6" s="150" t="s">
        <v>1</v>
      </c>
      <c r="C6" s="150" t="s">
        <v>1</v>
      </c>
      <c r="D6" s="150" t="s">
        <v>1</v>
      </c>
      <c r="E6" s="150" t="s">
        <v>1</v>
      </c>
      <c r="F6" s="148" t="s">
        <v>1</v>
      </c>
      <c r="G6" s="148">
        <v>7659</v>
      </c>
      <c r="H6" s="148">
        <v>1164390</v>
      </c>
      <c r="I6" s="149">
        <v>4173153</v>
      </c>
      <c r="J6" s="97">
        <f t="shared" si="0"/>
        <v>1781734</v>
      </c>
    </row>
    <row r="7" spans="1:10">
      <c r="A7" s="170" t="s">
        <v>158</v>
      </c>
      <c r="B7" s="150" t="s">
        <v>1</v>
      </c>
      <c r="C7" s="150" t="s">
        <v>1</v>
      </c>
      <c r="D7" s="150" t="s">
        <v>1</v>
      </c>
      <c r="E7" s="150" t="s">
        <v>1</v>
      </c>
      <c r="F7" s="148" t="s">
        <v>1</v>
      </c>
      <c r="G7" s="148">
        <v>5730333</v>
      </c>
      <c r="H7" s="148">
        <v>13570624</v>
      </c>
      <c r="I7" s="149">
        <v>21724480</v>
      </c>
      <c r="J7" s="97">
        <f t="shared" si="0"/>
        <v>13675145.666666666</v>
      </c>
    </row>
    <row r="8" spans="1:10">
      <c r="A8" s="170" t="s">
        <v>159</v>
      </c>
      <c r="B8" s="150" t="s">
        <v>1</v>
      </c>
      <c r="C8" s="150" t="s">
        <v>1</v>
      </c>
      <c r="D8" s="150" t="s">
        <v>1</v>
      </c>
      <c r="E8" s="150" t="s">
        <v>1</v>
      </c>
      <c r="F8" s="148">
        <v>188343</v>
      </c>
      <c r="G8" s="148">
        <v>188322</v>
      </c>
      <c r="H8" s="148">
        <v>172697</v>
      </c>
      <c r="I8" s="149">
        <v>195529</v>
      </c>
      <c r="J8" s="97">
        <f t="shared" si="0"/>
        <v>186222.75</v>
      </c>
    </row>
    <row r="9" spans="1:10">
      <c r="A9" s="88" t="s">
        <v>43</v>
      </c>
      <c r="B9" s="150" t="s">
        <v>1</v>
      </c>
      <c r="C9" s="150" t="s">
        <v>1</v>
      </c>
      <c r="D9" s="150" t="s">
        <v>1</v>
      </c>
      <c r="E9" s="150" t="s">
        <v>1</v>
      </c>
      <c r="F9" s="150">
        <v>1101106</v>
      </c>
      <c r="G9" s="150">
        <v>1169173</v>
      </c>
      <c r="H9" s="150">
        <v>1539266</v>
      </c>
      <c r="I9" s="151">
        <v>1728423</v>
      </c>
      <c r="J9" s="97">
        <f t="shared" si="0"/>
        <v>1384492</v>
      </c>
    </row>
    <row r="10" spans="1:10">
      <c r="A10" s="88" t="s">
        <v>42</v>
      </c>
      <c r="B10" s="150"/>
      <c r="C10" s="150"/>
      <c r="D10" s="150"/>
      <c r="E10" s="150"/>
      <c r="F10" s="150"/>
      <c r="G10" s="150"/>
      <c r="H10" s="150"/>
      <c r="I10" s="151"/>
      <c r="J10" s="97" t="e">
        <f t="shared" si="0"/>
        <v>#DIV/0!</v>
      </c>
    </row>
    <row r="11" spans="1:10">
      <c r="A11" s="98" t="s">
        <v>76</v>
      </c>
      <c r="B11" s="146" t="s">
        <v>1</v>
      </c>
      <c r="C11" s="146" t="s">
        <v>1</v>
      </c>
      <c r="D11" s="146" t="s">
        <v>1</v>
      </c>
      <c r="E11" s="146" t="s">
        <v>1</v>
      </c>
      <c r="F11" s="148" t="s">
        <v>1</v>
      </c>
      <c r="G11" s="148">
        <v>5952676</v>
      </c>
      <c r="H11" s="148">
        <v>11677400</v>
      </c>
      <c r="I11" s="149">
        <v>26793349</v>
      </c>
      <c r="J11" s="97">
        <f t="shared" si="0"/>
        <v>14807808.333333334</v>
      </c>
    </row>
    <row r="12" spans="1:10">
      <c r="A12" s="101" t="s">
        <v>77</v>
      </c>
      <c r="B12" s="146" t="s">
        <v>1</v>
      </c>
      <c r="C12" s="146" t="s">
        <v>1</v>
      </c>
      <c r="D12" s="146" t="s">
        <v>1</v>
      </c>
      <c r="E12" s="146" t="s">
        <v>1</v>
      </c>
      <c r="F12" s="148" t="s">
        <v>1</v>
      </c>
      <c r="G12" s="148">
        <v>864292</v>
      </c>
      <c r="H12" s="148">
        <v>4073067</v>
      </c>
      <c r="I12" s="149">
        <v>4653931</v>
      </c>
      <c r="J12" s="97">
        <f t="shared" si="0"/>
        <v>3197096.6666666665</v>
      </c>
    </row>
    <row r="13" spans="1:10">
      <c r="A13" s="101" t="s">
        <v>88</v>
      </c>
      <c r="B13" s="146" t="s">
        <v>1</v>
      </c>
      <c r="C13" s="146" t="s">
        <v>1</v>
      </c>
      <c r="D13" s="146" t="s">
        <v>1</v>
      </c>
      <c r="E13" s="146" t="s">
        <v>1</v>
      </c>
      <c r="F13" s="148" t="s">
        <v>1</v>
      </c>
      <c r="G13" s="148" t="s">
        <v>1</v>
      </c>
      <c r="H13" s="148">
        <v>1069349</v>
      </c>
      <c r="I13" s="149">
        <v>1984303</v>
      </c>
      <c r="J13" s="97">
        <f t="shared" si="0"/>
        <v>1526826</v>
      </c>
    </row>
    <row r="14" spans="1:10">
      <c r="A14" s="101" t="s">
        <v>78</v>
      </c>
      <c r="B14" s="146" t="s">
        <v>1</v>
      </c>
      <c r="C14" s="146" t="s">
        <v>1</v>
      </c>
      <c r="D14" s="146" t="s">
        <v>1</v>
      </c>
      <c r="E14" s="146" t="s">
        <v>1</v>
      </c>
      <c r="F14" s="148" t="s">
        <v>1</v>
      </c>
      <c r="G14" s="148" t="s">
        <v>1</v>
      </c>
      <c r="H14" s="148" t="s">
        <v>1</v>
      </c>
      <c r="I14" s="149" t="s">
        <v>1</v>
      </c>
      <c r="J14" s="97"/>
    </row>
    <row r="15" spans="1:10">
      <c r="A15" s="101" t="s">
        <v>79</v>
      </c>
      <c r="B15" s="146" t="s">
        <v>1</v>
      </c>
      <c r="C15" s="146" t="s">
        <v>1</v>
      </c>
      <c r="D15" s="146" t="s">
        <v>1</v>
      </c>
      <c r="E15" s="146" t="s">
        <v>1</v>
      </c>
      <c r="F15" s="148" t="s">
        <v>1</v>
      </c>
      <c r="G15" s="148" t="s">
        <v>1</v>
      </c>
      <c r="H15" s="148" t="s">
        <v>1</v>
      </c>
      <c r="I15" s="149" t="s">
        <v>1</v>
      </c>
      <c r="J15" s="97"/>
    </row>
    <row r="16" spans="1:10">
      <c r="A16" s="101" t="s">
        <v>80</v>
      </c>
      <c r="B16" s="146" t="s">
        <v>1</v>
      </c>
      <c r="C16" s="146" t="s">
        <v>1</v>
      </c>
      <c r="D16" s="146" t="s">
        <v>1</v>
      </c>
      <c r="E16" s="146" t="s">
        <v>1</v>
      </c>
      <c r="F16" s="148" t="s">
        <v>1</v>
      </c>
      <c r="G16" s="148">
        <v>5891</v>
      </c>
      <c r="H16" s="148">
        <v>43286</v>
      </c>
      <c r="I16" s="149">
        <v>109990</v>
      </c>
      <c r="J16" s="97">
        <f t="shared" si="0"/>
        <v>53055.666666666664</v>
      </c>
    </row>
    <row r="17" spans="1:10">
      <c r="A17" s="101" t="s">
        <v>81</v>
      </c>
      <c r="B17" s="146" t="s">
        <v>1</v>
      </c>
      <c r="C17" s="146" t="s">
        <v>1</v>
      </c>
      <c r="D17" s="146" t="s">
        <v>1</v>
      </c>
      <c r="E17" s="146" t="s">
        <v>1</v>
      </c>
      <c r="F17" s="148" t="s">
        <v>1</v>
      </c>
      <c r="G17" s="148">
        <v>30567</v>
      </c>
      <c r="H17" s="148">
        <v>119338</v>
      </c>
      <c r="I17" s="149">
        <v>191498</v>
      </c>
      <c r="J17" s="97">
        <f t="shared" si="0"/>
        <v>113801</v>
      </c>
    </row>
    <row r="18" spans="1:10">
      <c r="A18" s="101" t="s">
        <v>82</v>
      </c>
      <c r="B18" s="146" t="s">
        <v>1</v>
      </c>
      <c r="C18" s="146" t="s">
        <v>1</v>
      </c>
      <c r="D18" s="146" t="s">
        <v>1</v>
      </c>
      <c r="E18" s="146" t="s">
        <v>1</v>
      </c>
      <c r="F18" s="148">
        <v>30862</v>
      </c>
      <c r="G18" s="148">
        <v>98577</v>
      </c>
      <c r="H18" s="148">
        <v>94223</v>
      </c>
      <c r="I18" s="149">
        <v>118239</v>
      </c>
      <c r="J18" s="97">
        <f t="shared" si="0"/>
        <v>85475.25</v>
      </c>
    </row>
    <row r="19" spans="1:10">
      <c r="A19" s="101" t="s">
        <v>83</v>
      </c>
      <c r="B19" s="146" t="s">
        <v>1</v>
      </c>
      <c r="C19" s="146" t="s">
        <v>1</v>
      </c>
      <c r="D19" s="146" t="s">
        <v>1</v>
      </c>
      <c r="E19" s="146" t="s">
        <v>1</v>
      </c>
      <c r="F19" s="148">
        <v>1714</v>
      </c>
      <c r="G19" s="148">
        <v>10698</v>
      </c>
      <c r="H19" s="148">
        <v>20900</v>
      </c>
      <c r="I19" s="149">
        <v>81210</v>
      </c>
      <c r="J19" s="97">
        <f t="shared" si="0"/>
        <v>28630.5</v>
      </c>
    </row>
    <row r="20" spans="1:10">
      <c r="A20" s="101" t="s">
        <v>84</v>
      </c>
      <c r="B20" s="146" t="s">
        <v>1</v>
      </c>
      <c r="C20" s="146" t="s">
        <v>1</v>
      </c>
      <c r="D20" s="146" t="s">
        <v>1</v>
      </c>
      <c r="E20" s="146" t="s">
        <v>1</v>
      </c>
      <c r="F20" s="148" t="s">
        <v>1</v>
      </c>
      <c r="G20" s="148" t="s">
        <v>1</v>
      </c>
      <c r="H20" s="148" t="s">
        <v>1</v>
      </c>
      <c r="I20" s="149" t="s">
        <v>1</v>
      </c>
      <c r="J20" s="97"/>
    </row>
    <row r="21" spans="1:10" ht="27.6">
      <c r="A21" s="101" t="s">
        <v>85</v>
      </c>
      <c r="B21" s="146" t="s">
        <v>1</v>
      </c>
      <c r="C21" s="146" t="s">
        <v>1</v>
      </c>
      <c r="D21" s="146" t="s">
        <v>1</v>
      </c>
      <c r="E21" s="146" t="s">
        <v>1</v>
      </c>
      <c r="F21" s="148" t="s">
        <v>1</v>
      </c>
      <c r="G21" s="148" t="s">
        <v>1</v>
      </c>
      <c r="H21" s="148" t="s">
        <v>1</v>
      </c>
      <c r="I21" s="149" t="s">
        <v>1</v>
      </c>
      <c r="J21" s="97"/>
    </row>
    <row r="22" spans="1:10">
      <c r="A22" s="101" t="s">
        <v>86</v>
      </c>
      <c r="B22" s="146" t="s">
        <v>1</v>
      </c>
      <c r="C22" s="146" t="s">
        <v>1</v>
      </c>
      <c r="D22" s="146" t="s">
        <v>1</v>
      </c>
      <c r="E22" s="146" t="s">
        <v>1</v>
      </c>
      <c r="F22" s="148" t="s">
        <v>1</v>
      </c>
      <c r="G22" s="148">
        <v>1076666</v>
      </c>
      <c r="H22" s="148">
        <v>1545981</v>
      </c>
      <c r="I22" s="149">
        <v>2669412</v>
      </c>
      <c r="J22" s="97">
        <f t="shared" si="0"/>
        <v>1764019.6666666667</v>
      </c>
    </row>
    <row r="23" spans="1:10">
      <c r="A23" s="101" t="s">
        <v>87</v>
      </c>
      <c r="B23" s="146" t="s">
        <v>1</v>
      </c>
      <c r="C23" s="146" t="s">
        <v>1</v>
      </c>
      <c r="D23" s="146" t="s">
        <v>1</v>
      </c>
      <c r="E23" s="146" t="s">
        <v>1</v>
      </c>
      <c r="F23" s="148">
        <v>5116</v>
      </c>
      <c r="G23" s="148">
        <v>73731</v>
      </c>
      <c r="H23" s="148">
        <v>207367</v>
      </c>
      <c r="I23" s="149">
        <v>429545</v>
      </c>
      <c r="J23" s="97">
        <f t="shared" si="0"/>
        <v>178939.75</v>
      </c>
    </row>
    <row r="24" spans="1:10">
      <c r="A24" s="102" t="s">
        <v>44</v>
      </c>
      <c r="B24" s="152" t="s">
        <v>1</v>
      </c>
      <c r="C24" s="152" t="s">
        <v>1</v>
      </c>
      <c r="D24" s="152" t="s">
        <v>1</v>
      </c>
      <c r="E24" s="152" t="s">
        <v>1</v>
      </c>
      <c r="F24" s="152">
        <f>SUM(F11:F23)</f>
        <v>37692</v>
      </c>
      <c r="G24" s="152">
        <f>SUM(G11:G23)</f>
        <v>8113098</v>
      </c>
      <c r="H24" s="152">
        <f>SUM(H11:H23)</f>
        <v>18850911</v>
      </c>
      <c r="I24" s="153">
        <f>SUM(I11:I23)</f>
        <v>37031477</v>
      </c>
      <c r="J24" s="97">
        <f t="shared" si="0"/>
        <v>16008294.5</v>
      </c>
    </row>
    <row r="25" spans="1:10" s="106" customFormat="1">
      <c r="A25" s="91" t="s">
        <v>45</v>
      </c>
      <c r="B25" s="152" t="s">
        <v>1</v>
      </c>
      <c r="C25" s="152" t="s">
        <v>1</v>
      </c>
      <c r="D25" s="152" t="s">
        <v>1</v>
      </c>
      <c r="E25" s="152" t="s">
        <v>1</v>
      </c>
      <c r="F25" s="152">
        <f t="shared" ref="F25:I25" si="1">F24+F9</f>
        <v>1138798</v>
      </c>
      <c r="G25" s="152">
        <f t="shared" si="1"/>
        <v>9282271</v>
      </c>
      <c r="H25" s="152">
        <f t="shared" si="1"/>
        <v>20390177</v>
      </c>
      <c r="I25" s="153">
        <f t="shared" si="1"/>
        <v>38759900</v>
      </c>
      <c r="J25" s="97">
        <f t="shared" si="0"/>
        <v>17392786.5</v>
      </c>
    </row>
    <row r="26" spans="1:10" s="111" customFormat="1">
      <c r="A26" s="107" t="s">
        <v>40</v>
      </c>
      <c r="B26" s="168"/>
      <c r="C26" s="168"/>
      <c r="D26" s="168"/>
      <c r="E26" s="168"/>
      <c r="F26" s="168">
        <v>1138798</v>
      </c>
      <c r="G26" s="168">
        <v>9282271</v>
      </c>
      <c r="H26" s="168">
        <v>20390177</v>
      </c>
      <c r="I26" s="169">
        <v>38759900</v>
      </c>
      <c r="J26" s="110">
        <f t="shared" ref="J26" si="2">AVERAGE(B26:I26)</f>
        <v>17392786.5</v>
      </c>
    </row>
    <row r="27" spans="1:10" s="111" customFormat="1" ht="20.399999999999999">
      <c r="A27" s="92" t="s">
        <v>136</v>
      </c>
      <c r="B27" s="154"/>
      <c r="C27" s="154"/>
      <c r="D27" s="154"/>
      <c r="E27" s="154"/>
      <c r="F27" s="154"/>
      <c r="G27" s="154"/>
      <c r="H27" s="154"/>
      <c r="I27" s="155"/>
      <c r="J27" s="114"/>
    </row>
    <row r="28" spans="1:10">
      <c r="A28" s="115" t="s">
        <v>41</v>
      </c>
      <c r="B28" s="142" t="s">
        <v>1</v>
      </c>
      <c r="C28" s="142" t="s">
        <v>1</v>
      </c>
      <c r="D28" s="142" t="s">
        <v>1</v>
      </c>
      <c r="E28" s="142" t="s">
        <v>1</v>
      </c>
      <c r="F28" s="142">
        <v>268.36</v>
      </c>
      <c r="G28" s="142">
        <v>63.64</v>
      </c>
      <c r="H28" s="142">
        <v>28.05</v>
      </c>
      <c r="I28" s="156">
        <v>27.83</v>
      </c>
      <c r="J28" s="118">
        <f>AVERAGE(B28:I28)</f>
        <v>96.97</v>
      </c>
    </row>
    <row r="29" spans="1:10">
      <c r="A29" s="115" t="s">
        <v>62</v>
      </c>
      <c r="B29" s="142" t="s">
        <v>1</v>
      </c>
      <c r="C29" s="142" t="s">
        <v>1</v>
      </c>
      <c r="D29" s="142" t="s">
        <v>1</v>
      </c>
      <c r="E29" s="142" t="s">
        <v>1</v>
      </c>
      <c r="F29" s="142">
        <f>F9/F25*100</f>
        <v>96.690194397952936</v>
      </c>
      <c r="G29" s="142">
        <f>G9/G25*100</f>
        <v>12.595764549429767</v>
      </c>
      <c r="H29" s="142">
        <f>H9/H25*100</f>
        <v>7.5490565873949995</v>
      </c>
      <c r="I29" s="156">
        <f>I9/I25*100</f>
        <v>4.4593071705551361</v>
      </c>
      <c r="J29" s="118">
        <f t="shared" ref="J29:J43" si="3">AVERAGE(B29:I29)</f>
        <v>30.323580676333211</v>
      </c>
    </row>
    <row r="30" spans="1:10">
      <c r="A30" s="115" t="s">
        <v>46</v>
      </c>
      <c r="B30" s="142" t="s">
        <v>1</v>
      </c>
      <c r="C30" s="142" t="s">
        <v>1</v>
      </c>
      <c r="D30" s="142" t="s">
        <v>1</v>
      </c>
      <c r="E30" s="142" t="s">
        <v>1</v>
      </c>
      <c r="F30" s="142">
        <f>F24/F9</f>
        <v>3.4231036793914482E-2</v>
      </c>
      <c r="G30" s="142">
        <f>G24/G9</f>
        <v>6.9391766658997431</v>
      </c>
      <c r="H30" s="142">
        <f>H24/H9</f>
        <v>12.246688356658304</v>
      </c>
      <c r="I30" s="156">
        <f>I24/I9</f>
        <v>21.425008230045538</v>
      </c>
      <c r="J30" s="118">
        <f t="shared" si="3"/>
        <v>10.161276072349374</v>
      </c>
    </row>
    <row r="31" spans="1:10">
      <c r="A31" s="115" t="s">
        <v>47</v>
      </c>
      <c r="B31" s="142" t="s">
        <v>1</v>
      </c>
      <c r="C31" s="142" t="s">
        <v>1</v>
      </c>
      <c r="D31" s="142" t="s">
        <v>1</v>
      </c>
      <c r="E31" s="142" t="s">
        <v>1</v>
      </c>
      <c r="F31" s="142">
        <f>F25/F9</f>
        <v>1.0342310367939145</v>
      </c>
      <c r="G31" s="142">
        <f>G25/G9</f>
        <v>7.9391766658997431</v>
      </c>
      <c r="H31" s="142">
        <f>H25/H9</f>
        <v>13.246688356658304</v>
      </c>
      <c r="I31" s="156">
        <f>I25/I9</f>
        <v>22.425008230045538</v>
      </c>
      <c r="J31" s="118">
        <f t="shared" si="3"/>
        <v>11.161276072349374</v>
      </c>
    </row>
    <row r="32" spans="1:10" s="119" customFormat="1">
      <c r="A32" s="115" t="s">
        <v>63</v>
      </c>
      <c r="B32" s="142" t="s">
        <v>1</v>
      </c>
      <c r="C32" s="142" t="s">
        <v>1</v>
      </c>
      <c r="D32" s="142" t="s">
        <v>1</v>
      </c>
      <c r="E32" s="142" t="s">
        <v>1</v>
      </c>
      <c r="F32" s="142">
        <f>F9/F24*100</f>
        <v>2921.3254802080014</v>
      </c>
      <c r="G32" s="142">
        <f>G9/G24*100</f>
        <v>14.410931557834012</v>
      </c>
      <c r="H32" s="142">
        <f>H9/H24*100</f>
        <v>8.1654727455877332</v>
      </c>
      <c r="I32" s="156">
        <f>I9/I24*100</f>
        <v>4.667442781177753</v>
      </c>
      <c r="J32" s="118">
        <f t="shared" si="3"/>
        <v>737.14233182315013</v>
      </c>
    </row>
    <row r="33" spans="1:10" ht="20.399999999999999">
      <c r="A33" s="93" t="s">
        <v>137</v>
      </c>
      <c r="B33" s="139"/>
      <c r="C33" s="139"/>
      <c r="D33" s="139"/>
      <c r="E33" s="139"/>
      <c r="F33" s="157"/>
      <c r="G33" s="157"/>
      <c r="H33" s="157"/>
      <c r="I33" s="158"/>
      <c r="J33" s="118"/>
    </row>
    <row r="34" spans="1:10" s="125" customFormat="1">
      <c r="A34" s="124" t="s">
        <v>122</v>
      </c>
      <c r="B34" s="139" t="s">
        <v>1</v>
      </c>
      <c r="C34" s="139" t="s">
        <v>1</v>
      </c>
      <c r="D34" s="139" t="s">
        <v>1</v>
      </c>
      <c r="E34" s="139" t="s">
        <v>1</v>
      </c>
      <c r="F34" s="157">
        <v>211955</v>
      </c>
      <c r="G34" s="157">
        <v>429813</v>
      </c>
      <c r="H34" s="157">
        <v>999620</v>
      </c>
      <c r="I34" s="158">
        <v>2329202</v>
      </c>
      <c r="J34" s="172">
        <f t="shared" si="3"/>
        <v>992647.5</v>
      </c>
    </row>
    <row r="35" spans="1:10" s="125" customFormat="1">
      <c r="A35" s="124" t="s">
        <v>123</v>
      </c>
      <c r="B35" s="139" t="s">
        <v>1</v>
      </c>
      <c r="C35" s="139" t="s">
        <v>1</v>
      </c>
      <c r="D35" s="139" t="s">
        <v>1</v>
      </c>
      <c r="E35" s="139" t="s">
        <v>1</v>
      </c>
      <c r="F35" s="157" t="s">
        <v>1</v>
      </c>
      <c r="G35" s="157">
        <v>212161</v>
      </c>
      <c r="H35" s="157">
        <v>371613</v>
      </c>
      <c r="I35" s="158">
        <v>532385</v>
      </c>
      <c r="J35" s="172">
        <f t="shared" si="3"/>
        <v>372053</v>
      </c>
    </row>
    <row r="36" spans="1:10" s="131" customFormat="1">
      <c r="A36" s="126" t="s">
        <v>138</v>
      </c>
      <c r="B36" s="139" t="s">
        <v>1</v>
      </c>
      <c r="C36" s="139" t="s">
        <v>1</v>
      </c>
      <c r="D36" s="139" t="s">
        <v>1</v>
      </c>
      <c r="E36" s="139" t="s">
        <v>1</v>
      </c>
      <c r="F36" s="171">
        <f>F34</f>
        <v>211955</v>
      </c>
      <c r="G36" s="171">
        <f t="shared" ref="G36:I36" si="4">G34-G35</f>
        <v>217652</v>
      </c>
      <c r="H36" s="171">
        <f t="shared" si="4"/>
        <v>628007</v>
      </c>
      <c r="I36" s="171">
        <f t="shared" si="4"/>
        <v>1796817</v>
      </c>
      <c r="J36" s="173">
        <f t="shared" si="3"/>
        <v>713607.75</v>
      </c>
    </row>
    <row r="37" spans="1:10">
      <c r="A37" s="132" t="s">
        <v>114</v>
      </c>
      <c r="B37" s="139" t="s">
        <v>1</v>
      </c>
      <c r="C37" s="139" t="s">
        <v>1</v>
      </c>
      <c r="D37" s="139" t="s">
        <v>1</v>
      </c>
      <c r="E37" s="139" t="s">
        <v>1</v>
      </c>
      <c r="F37" s="157">
        <v>1</v>
      </c>
      <c r="G37" s="157">
        <v>1365</v>
      </c>
      <c r="H37" s="157">
        <v>21113</v>
      </c>
      <c r="I37" s="158">
        <v>82481</v>
      </c>
      <c r="J37" s="172">
        <f t="shared" si="3"/>
        <v>26240</v>
      </c>
    </row>
    <row r="38" spans="1:10" s="133" customFormat="1">
      <c r="A38" s="132" t="s">
        <v>139</v>
      </c>
      <c r="B38" s="139" t="s">
        <v>1</v>
      </c>
      <c r="C38" s="139" t="s">
        <v>1</v>
      </c>
      <c r="D38" s="139" t="s">
        <v>1</v>
      </c>
      <c r="E38" s="139" t="s">
        <v>1</v>
      </c>
      <c r="F38" s="157" t="s">
        <v>1</v>
      </c>
      <c r="G38" s="157" t="s">
        <v>1</v>
      </c>
      <c r="H38" s="157" t="s">
        <v>1</v>
      </c>
      <c r="I38" s="158" t="s">
        <v>1</v>
      </c>
      <c r="J38" s="172"/>
    </row>
    <row r="39" spans="1:10">
      <c r="A39" s="132" t="s">
        <v>115</v>
      </c>
      <c r="B39" s="139" t="s">
        <v>1</v>
      </c>
      <c r="C39" s="139" t="s">
        <v>1</v>
      </c>
      <c r="D39" s="139" t="s">
        <v>1</v>
      </c>
      <c r="E39" s="139" t="s">
        <v>1</v>
      </c>
      <c r="F39" s="157">
        <v>261084</v>
      </c>
      <c r="G39" s="157">
        <v>32514</v>
      </c>
      <c r="H39" s="157">
        <v>22261</v>
      </c>
      <c r="I39" s="158">
        <v>56502</v>
      </c>
      <c r="J39" s="172">
        <f t="shared" si="3"/>
        <v>93090.25</v>
      </c>
    </row>
    <row r="40" spans="1:10">
      <c r="A40" s="132" t="s">
        <v>116</v>
      </c>
      <c r="B40" s="139" t="s">
        <v>1</v>
      </c>
      <c r="C40" s="139" t="s">
        <v>1</v>
      </c>
      <c r="D40" s="139" t="s">
        <v>1</v>
      </c>
      <c r="E40" s="139" t="s">
        <v>1</v>
      </c>
      <c r="F40" s="157">
        <v>29733</v>
      </c>
      <c r="G40" s="157">
        <v>24115</v>
      </c>
      <c r="H40" s="157">
        <v>85390</v>
      </c>
      <c r="I40" s="158">
        <v>129965</v>
      </c>
      <c r="J40" s="172">
        <f t="shared" si="3"/>
        <v>67300.75</v>
      </c>
    </row>
    <row r="41" spans="1:10">
      <c r="A41" s="132" t="s">
        <v>140</v>
      </c>
      <c r="B41" s="139" t="s">
        <v>1</v>
      </c>
      <c r="C41" s="139" t="s">
        <v>1</v>
      </c>
      <c r="D41" s="139" t="s">
        <v>1</v>
      </c>
      <c r="E41" s="139" t="s">
        <v>1</v>
      </c>
      <c r="F41" s="157">
        <v>35341</v>
      </c>
      <c r="G41" s="157">
        <v>73686</v>
      </c>
      <c r="H41" s="157">
        <v>119178</v>
      </c>
      <c r="I41" s="158">
        <v>203094</v>
      </c>
      <c r="J41" s="172">
        <f t="shared" si="3"/>
        <v>107824.75</v>
      </c>
    </row>
    <row r="42" spans="1:10">
      <c r="A42" s="132" t="s">
        <v>117</v>
      </c>
      <c r="B42" s="139" t="s">
        <v>1</v>
      </c>
      <c r="C42" s="139" t="s">
        <v>1</v>
      </c>
      <c r="D42" s="139" t="s">
        <v>1</v>
      </c>
      <c r="E42" s="139" t="s">
        <v>1</v>
      </c>
      <c r="F42" s="157">
        <v>440158</v>
      </c>
      <c r="G42" s="157">
        <v>46103</v>
      </c>
      <c r="H42" s="157">
        <v>104451</v>
      </c>
      <c r="I42" s="158">
        <v>187998</v>
      </c>
      <c r="J42" s="172">
        <f t="shared" si="3"/>
        <v>194677.5</v>
      </c>
    </row>
    <row r="43" spans="1:10" ht="14.4" thickBot="1">
      <c r="A43" s="134" t="s">
        <v>132</v>
      </c>
      <c r="B43" s="139" t="s">
        <v>1</v>
      </c>
      <c r="C43" s="139" t="s">
        <v>1</v>
      </c>
      <c r="D43" s="139" t="s">
        <v>1</v>
      </c>
      <c r="E43" s="139" t="s">
        <v>1</v>
      </c>
      <c r="F43" s="162">
        <v>543696</v>
      </c>
      <c r="G43" s="162">
        <v>44979</v>
      </c>
      <c r="H43" s="162">
        <v>80597</v>
      </c>
      <c r="I43" s="163">
        <v>143113</v>
      </c>
      <c r="J43" s="172">
        <f t="shared" si="3"/>
        <v>203096.25</v>
      </c>
    </row>
  </sheetData>
  <mergeCells count="10">
    <mergeCell ref="C1:C2"/>
    <mergeCell ref="J1:J2"/>
    <mergeCell ref="A1:A2"/>
    <mergeCell ref="B1:B2"/>
    <mergeCell ref="I1:I2"/>
    <mergeCell ref="G1:G2"/>
    <mergeCell ref="H1:H2"/>
    <mergeCell ref="F1:F2"/>
    <mergeCell ref="D1:D2"/>
    <mergeCell ref="E1:E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1F08F-071D-44EC-A37B-73B4FF2F51B7}">
  <dimension ref="A1:AH26"/>
  <sheetViews>
    <sheetView zoomScale="70" zoomScaleNormal="70" workbookViewId="0">
      <pane xSplit="1" topLeftCell="B1" activePane="topRight" state="frozen"/>
      <selection activeCell="A4" sqref="A4"/>
      <selection pane="topRight" activeCell="G6" sqref="G6"/>
    </sheetView>
  </sheetViews>
  <sheetFormatPr defaultRowHeight="13.8"/>
  <cols>
    <col min="1" max="1" width="55.21875" style="2" customWidth="1"/>
    <col min="2" max="4" width="8.21875" style="2" bestFit="1" customWidth="1"/>
    <col min="5" max="5" width="10.5546875" style="2" bestFit="1" customWidth="1"/>
    <col min="6" max="6" width="8.21875" style="2" bestFit="1" customWidth="1"/>
    <col min="7" max="32" width="12.44140625" style="2" bestFit="1" customWidth="1"/>
    <col min="33" max="33" width="14.109375" style="2" bestFit="1" customWidth="1"/>
    <col min="34" max="16384" width="8.88671875" style="2"/>
  </cols>
  <sheetData>
    <row r="1" spans="1:34" ht="22.8" customHeight="1">
      <c r="A1" s="380" t="s">
        <v>4</v>
      </c>
      <c r="B1" s="375" t="s">
        <v>7</v>
      </c>
      <c r="C1" s="375" t="s">
        <v>8</v>
      </c>
      <c r="D1" s="375" t="s">
        <v>9</v>
      </c>
      <c r="E1" s="375" t="s">
        <v>10</v>
      </c>
      <c r="F1" s="375" t="s">
        <v>11</v>
      </c>
      <c r="G1" s="375" t="s">
        <v>12</v>
      </c>
      <c r="H1" s="375" t="s">
        <v>13</v>
      </c>
      <c r="I1" s="375" t="s">
        <v>14</v>
      </c>
      <c r="J1" s="375" t="s">
        <v>15</v>
      </c>
      <c r="K1" s="375" t="s">
        <v>16</v>
      </c>
      <c r="L1" s="375" t="s">
        <v>17</v>
      </c>
      <c r="M1" s="375" t="s">
        <v>18</v>
      </c>
      <c r="N1" s="375" t="s">
        <v>19</v>
      </c>
      <c r="O1" s="375" t="s">
        <v>20</v>
      </c>
      <c r="P1" s="375" t="s">
        <v>21</v>
      </c>
      <c r="Q1" s="375" t="s">
        <v>22</v>
      </c>
      <c r="R1" s="375" t="s">
        <v>23</v>
      </c>
      <c r="S1" s="375" t="s">
        <v>24</v>
      </c>
      <c r="T1" s="375" t="s">
        <v>25</v>
      </c>
      <c r="U1" s="375" t="s">
        <v>26</v>
      </c>
      <c r="V1" s="375" t="s">
        <v>27</v>
      </c>
      <c r="W1" s="375" t="s">
        <v>28</v>
      </c>
      <c r="X1" s="375" t="s">
        <v>29</v>
      </c>
      <c r="Y1" s="375" t="s">
        <v>30</v>
      </c>
      <c r="Z1" s="375" t="s">
        <v>31</v>
      </c>
      <c r="AA1" s="375" t="s">
        <v>32</v>
      </c>
      <c r="AB1" s="375" t="s">
        <v>33</v>
      </c>
      <c r="AC1" s="375" t="s">
        <v>34</v>
      </c>
      <c r="AD1" s="375" t="s">
        <v>35</v>
      </c>
      <c r="AE1" s="375" t="s">
        <v>36</v>
      </c>
      <c r="AF1" s="375" t="s">
        <v>37</v>
      </c>
      <c r="AG1" s="375" t="s">
        <v>38</v>
      </c>
    </row>
    <row r="2" spans="1:34">
      <c r="A2" s="379"/>
      <c r="B2" s="376"/>
      <c r="C2" s="376"/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6"/>
      <c r="X2" s="376"/>
      <c r="Y2" s="376"/>
      <c r="Z2" s="376"/>
      <c r="AA2" s="376"/>
      <c r="AB2" s="376"/>
      <c r="AC2" s="376"/>
      <c r="AD2" s="376"/>
      <c r="AE2" s="376"/>
      <c r="AF2" s="376"/>
      <c r="AG2" s="376"/>
    </row>
    <row r="3" spans="1:34" ht="20.399999999999999">
      <c r="A3" s="81" t="s">
        <v>135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4" ht="14.4">
      <c r="A4" s="56" t="s">
        <v>43</v>
      </c>
      <c r="B4" s="42" t="s">
        <v>1</v>
      </c>
      <c r="C4" s="42" t="s">
        <v>1</v>
      </c>
      <c r="D4" s="42" t="s">
        <v>1</v>
      </c>
      <c r="E4" s="43" t="s">
        <v>1</v>
      </c>
      <c r="F4" s="42" t="s">
        <v>1</v>
      </c>
      <c r="G4" s="42" t="s">
        <v>1</v>
      </c>
      <c r="H4" s="42" t="s">
        <v>1</v>
      </c>
      <c r="I4" s="43" t="s">
        <v>1</v>
      </c>
      <c r="J4" s="42" t="s">
        <v>1</v>
      </c>
      <c r="K4" s="42" t="s">
        <v>1</v>
      </c>
      <c r="L4" s="42" t="s">
        <v>1</v>
      </c>
      <c r="M4" s="43" t="s">
        <v>1</v>
      </c>
      <c r="N4" s="42" t="s">
        <v>1</v>
      </c>
      <c r="O4" s="42" t="s">
        <v>1</v>
      </c>
      <c r="P4" s="42" t="s">
        <v>1</v>
      </c>
      <c r="Q4" s="43" t="s">
        <v>1</v>
      </c>
      <c r="R4" s="44" t="s">
        <v>1</v>
      </c>
      <c r="S4" s="44" t="s">
        <v>1</v>
      </c>
      <c r="T4" s="44" t="s">
        <v>1</v>
      </c>
      <c r="U4" s="45">
        <v>1101106</v>
      </c>
      <c r="V4" s="44">
        <v>1115735</v>
      </c>
      <c r="W4" s="44">
        <v>1147224</v>
      </c>
      <c r="X4" s="44">
        <v>1152756</v>
      </c>
      <c r="Y4" s="45">
        <v>1169173</v>
      </c>
      <c r="Z4" s="44">
        <v>1157503</v>
      </c>
      <c r="AA4" s="44">
        <v>1197381</v>
      </c>
      <c r="AB4" s="44">
        <v>1219707</v>
      </c>
      <c r="AC4" s="45">
        <v>1539266</v>
      </c>
      <c r="AD4" s="44">
        <v>1558393</v>
      </c>
      <c r="AE4" s="44">
        <v>1572466</v>
      </c>
      <c r="AF4" s="44">
        <v>1598493</v>
      </c>
      <c r="AG4" s="45">
        <v>1728423</v>
      </c>
      <c r="AH4" s="7"/>
    </row>
    <row r="5" spans="1:34">
      <c r="A5" s="59" t="s">
        <v>42</v>
      </c>
      <c r="B5" s="38"/>
      <c r="C5" s="38"/>
      <c r="D5" s="38"/>
      <c r="E5" s="39"/>
      <c r="F5" s="38"/>
      <c r="G5" s="38"/>
      <c r="H5" s="38"/>
      <c r="I5" s="39"/>
      <c r="J5" s="38"/>
      <c r="K5" s="38"/>
      <c r="L5" s="38"/>
      <c r="M5" s="39"/>
      <c r="N5" s="38"/>
      <c r="O5" s="38"/>
      <c r="P5" s="38"/>
      <c r="Q5" s="39"/>
      <c r="R5" s="40"/>
      <c r="S5" s="40"/>
      <c r="T5" s="40"/>
      <c r="U5" s="41"/>
      <c r="V5" s="40"/>
      <c r="W5" s="40"/>
      <c r="X5" s="40"/>
      <c r="Y5" s="41"/>
      <c r="Z5" s="40"/>
      <c r="AA5" s="40"/>
      <c r="AB5" s="40"/>
      <c r="AC5" s="41"/>
      <c r="AD5" s="40"/>
      <c r="AE5" s="40"/>
      <c r="AF5" s="40"/>
      <c r="AG5" s="41"/>
      <c r="AH5" s="7"/>
    </row>
    <row r="6" spans="1:34">
      <c r="A6" s="60" t="s">
        <v>76</v>
      </c>
      <c r="B6" s="38" t="s">
        <v>1</v>
      </c>
      <c r="C6" s="38" t="s">
        <v>1</v>
      </c>
      <c r="D6" s="38" t="s">
        <v>1</v>
      </c>
      <c r="E6" s="39" t="s">
        <v>1</v>
      </c>
      <c r="F6" s="38" t="s">
        <v>1</v>
      </c>
      <c r="G6" s="38" t="s">
        <v>1</v>
      </c>
      <c r="H6" s="38" t="s">
        <v>1</v>
      </c>
      <c r="I6" s="39" t="s">
        <v>1</v>
      </c>
      <c r="J6" s="38" t="s">
        <v>1</v>
      </c>
      <c r="K6" s="38" t="s">
        <v>1</v>
      </c>
      <c r="L6" s="38" t="s">
        <v>1</v>
      </c>
      <c r="M6" s="39" t="s">
        <v>1</v>
      </c>
      <c r="N6" s="38" t="s">
        <v>1</v>
      </c>
      <c r="O6" s="38" t="s">
        <v>1</v>
      </c>
      <c r="P6" s="38" t="s">
        <v>1</v>
      </c>
      <c r="Q6" s="39" t="s">
        <v>1</v>
      </c>
      <c r="R6" s="40" t="s">
        <v>1</v>
      </c>
      <c r="S6" s="40" t="s">
        <v>1</v>
      </c>
      <c r="T6" s="40" t="s">
        <v>1</v>
      </c>
      <c r="U6" s="41" t="s">
        <v>1</v>
      </c>
      <c r="V6" s="40">
        <v>163259</v>
      </c>
      <c r="W6" s="40">
        <v>2075050</v>
      </c>
      <c r="X6" s="40">
        <v>3844281</v>
      </c>
      <c r="Y6" s="41">
        <v>5952676</v>
      </c>
      <c r="Z6" s="40">
        <v>7377849</v>
      </c>
      <c r="AA6" s="40">
        <v>8647701</v>
      </c>
      <c r="AB6" s="40">
        <v>10479164</v>
      </c>
      <c r="AC6" s="41">
        <v>11677400</v>
      </c>
      <c r="AD6" s="40">
        <v>12772161</v>
      </c>
      <c r="AE6" s="40">
        <v>15121828</v>
      </c>
      <c r="AF6" s="40">
        <v>16529302</v>
      </c>
      <c r="AG6" s="41">
        <v>26793349</v>
      </c>
      <c r="AH6" s="7"/>
    </row>
    <row r="7" spans="1:34">
      <c r="A7" s="60" t="s">
        <v>77</v>
      </c>
      <c r="B7" s="38" t="s">
        <v>1</v>
      </c>
      <c r="C7" s="38" t="s">
        <v>1</v>
      </c>
      <c r="D7" s="38" t="s">
        <v>1</v>
      </c>
      <c r="E7" s="39" t="s">
        <v>1</v>
      </c>
      <c r="F7" s="38" t="s">
        <v>1</v>
      </c>
      <c r="G7" s="38" t="s">
        <v>1</v>
      </c>
      <c r="H7" s="38" t="s">
        <v>1</v>
      </c>
      <c r="I7" s="39" t="s">
        <v>1</v>
      </c>
      <c r="J7" s="38" t="s">
        <v>1</v>
      </c>
      <c r="K7" s="38" t="s">
        <v>1</v>
      </c>
      <c r="L7" s="38" t="s">
        <v>1</v>
      </c>
      <c r="M7" s="39" t="s">
        <v>1</v>
      </c>
      <c r="N7" s="38" t="s">
        <v>1</v>
      </c>
      <c r="O7" s="38" t="s">
        <v>1</v>
      </c>
      <c r="P7" s="38" t="s">
        <v>1</v>
      </c>
      <c r="Q7" s="39" t="s">
        <v>1</v>
      </c>
      <c r="R7" s="40" t="s">
        <v>1</v>
      </c>
      <c r="S7" s="40" t="s">
        <v>1</v>
      </c>
      <c r="T7" s="40" t="s">
        <v>1</v>
      </c>
      <c r="U7" s="41" t="s">
        <v>1</v>
      </c>
      <c r="V7" s="40">
        <v>84396</v>
      </c>
      <c r="W7" s="40">
        <v>9799</v>
      </c>
      <c r="X7" s="40">
        <v>80281</v>
      </c>
      <c r="Y7" s="41">
        <v>864292</v>
      </c>
      <c r="Z7" s="40">
        <v>771088</v>
      </c>
      <c r="AA7" s="40">
        <v>1158389</v>
      </c>
      <c r="AB7" s="40">
        <v>2542494</v>
      </c>
      <c r="AC7" s="41">
        <v>4073067</v>
      </c>
      <c r="AD7" s="40">
        <v>4048317</v>
      </c>
      <c r="AE7" s="40">
        <v>3852923</v>
      </c>
      <c r="AF7" s="40">
        <v>4676375</v>
      </c>
      <c r="AG7" s="41">
        <v>4653931</v>
      </c>
      <c r="AH7" s="7"/>
    </row>
    <row r="8" spans="1:34">
      <c r="A8" s="60" t="s">
        <v>88</v>
      </c>
      <c r="B8" s="38" t="s">
        <v>1</v>
      </c>
      <c r="C8" s="38" t="s">
        <v>1</v>
      </c>
      <c r="D8" s="38" t="s">
        <v>1</v>
      </c>
      <c r="E8" s="39" t="s">
        <v>1</v>
      </c>
      <c r="F8" s="38" t="s">
        <v>1</v>
      </c>
      <c r="G8" s="38" t="s">
        <v>1</v>
      </c>
      <c r="H8" s="38" t="s">
        <v>1</v>
      </c>
      <c r="I8" s="39" t="s">
        <v>1</v>
      </c>
      <c r="J8" s="38" t="s">
        <v>1</v>
      </c>
      <c r="K8" s="38" t="s">
        <v>1</v>
      </c>
      <c r="L8" s="38" t="s">
        <v>1</v>
      </c>
      <c r="M8" s="39" t="s">
        <v>1</v>
      </c>
      <c r="N8" s="38" t="s">
        <v>1</v>
      </c>
      <c r="O8" s="38" t="s">
        <v>1</v>
      </c>
      <c r="P8" s="38" t="s">
        <v>1</v>
      </c>
      <c r="Q8" s="39" t="s">
        <v>1</v>
      </c>
      <c r="R8" s="40" t="s">
        <v>1</v>
      </c>
      <c r="S8" s="40" t="s">
        <v>1</v>
      </c>
      <c r="T8" s="40" t="s">
        <v>1</v>
      </c>
      <c r="U8" s="41" t="s">
        <v>1</v>
      </c>
      <c r="V8" s="40" t="s">
        <v>1</v>
      </c>
      <c r="W8" s="40" t="s">
        <v>1</v>
      </c>
      <c r="X8" s="40" t="s">
        <v>1</v>
      </c>
      <c r="Y8" s="41" t="s">
        <v>1</v>
      </c>
      <c r="Z8" s="40">
        <v>409808</v>
      </c>
      <c r="AA8" s="40">
        <v>423162</v>
      </c>
      <c r="AB8" s="40">
        <v>125137</v>
      </c>
      <c r="AC8" s="41">
        <v>1069349</v>
      </c>
      <c r="AD8" s="40">
        <v>442835</v>
      </c>
      <c r="AE8" s="40">
        <v>1402657</v>
      </c>
      <c r="AF8" s="40">
        <v>18890</v>
      </c>
      <c r="AG8" s="41">
        <v>1984303</v>
      </c>
      <c r="AH8" s="7"/>
    </row>
    <row r="9" spans="1:34">
      <c r="A9" s="60" t="s">
        <v>78</v>
      </c>
      <c r="B9" s="38" t="s">
        <v>1</v>
      </c>
      <c r="C9" s="38" t="s">
        <v>1</v>
      </c>
      <c r="D9" s="38" t="s">
        <v>1</v>
      </c>
      <c r="E9" s="39" t="s">
        <v>1</v>
      </c>
      <c r="F9" s="38" t="s">
        <v>1</v>
      </c>
      <c r="G9" s="38" t="s">
        <v>1</v>
      </c>
      <c r="H9" s="38" t="s">
        <v>1</v>
      </c>
      <c r="I9" s="39" t="s">
        <v>1</v>
      </c>
      <c r="J9" s="38" t="s">
        <v>1</v>
      </c>
      <c r="K9" s="38" t="s">
        <v>1</v>
      </c>
      <c r="L9" s="38" t="s">
        <v>1</v>
      </c>
      <c r="M9" s="39" t="s">
        <v>1</v>
      </c>
      <c r="N9" s="38" t="s">
        <v>1</v>
      </c>
      <c r="O9" s="38" t="s">
        <v>1</v>
      </c>
      <c r="P9" s="38" t="s">
        <v>1</v>
      </c>
      <c r="Q9" s="39" t="s">
        <v>1</v>
      </c>
      <c r="R9" s="40" t="s">
        <v>1</v>
      </c>
      <c r="S9" s="40" t="s">
        <v>1</v>
      </c>
      <c r="T9" s="40" t="s">
        <v>1</v>
      </c>
      <c r="U9" s="41" t="s">
        <v>1</v>
      </c>
      <c r="V9" s="40" t="s">
        <v>1</v>
      </c>
      <c r="W9" s="40" t="s">
        <v>1</v>
      </c>
      <c r="X9" s="40" t="s">
        <v>1</v>
      </c>
      <c r="Y9" s="41" t="s">
        <v>1</v>
      </c>
      <c r="Z9" s="40" t="s">
        <v>1</v>
      </c>
      <c r="AA9" s="40" t="s">
        <v>1</v>
      </c>
      <c r="AB9" s="40" t="s">
        <v>1</v>
      </c>
      <c r="AC9" s="41" t="s">
        <v>1</v>
      </c>
      <c r="AD9" s="40" t="s">
        <v>1</v>
      </c>
      <c r="AE9" s="40" t="s">
        <v>1</v>
      </c>
      <c r="AF9" s="40" t="s">
        <v>1</v>
      </c>
      <c r="AG9" s="41" t="s">
        <v>1</v>
      </c>
      <c r="AH9" s="7"/>
    </row>
    <row r="10" spans="1:34">
      <c r="A10" s="60" t="s">
        <v>79</v>
      </c>
      <c r="B10" s="38" t="s">
        <v>1</v>
      </c>
      <c r="C10" s="38" t="s">
        <v>1</v>
      </c>
      <c r="D10" s="38" t="s">
        <v>1</v>
      </c>
      <c r="E10" s="39" t="s">
        <v>1</v>
      </c>
      <c r="F10" s="38" t="s">
        <v>1</v>
      </c>
      <c r="G10" s="38" t="s">
        <v>1</v>
      </c>
      <c r="H10" s="38" t="s">
        <v>1</v>
      </c>
      <c r="I10" s="39" t="s">
        <v>1</v>
      </c>
      <c r="J10" s="38" t="s">
        <v>1</v>
      </c>
      <c r="K10" s="38" t="s">
        <v>1</v>
      </c>
      <c r="L10" s="38" t="s">
        <v>1</v>
      </c>
      <c r="M10" s="39" t="s">
        <v>1</v>
      </c>
      <c r="N10" s="38" t="s">
        <v>1</v>
      </c>
      <c r="O10" s="38" t="s">
        <v>1</v>
      </c>
      <c r="P10" s="38" t="s">
        <v>1</v>
      </c>
      <c r="Q10" s="39" t="s">
        <v>1</v>
      </c>
      <c r="R10" s="40" t="s">
        <v>1</v>
      </c>
      <c r="S10" s="40" t="s">
        <v>1</v>
      </c>
      <c r="T10" s="40" t="s">
        <v>1</v>
      </c>
      <c r="U10" s="41" t="s">
        <v>1</v>
      </c>
      <c r="V10" s="40" t="s">
        <v>1</v>
      </c>
      <c r="W10" s="40" t="s">
        <v>1</v>
      </c>
      <c r="X10" s="40" t="s">
        <v>1</v>
      </c>
      <c r="Y10" s="41" t="s">
        <v>1</v>
      </c>
      <c r="Z10" s="40" t="s">
        <v>1</v>
      </c>
      <c r="AA10" s="40" t="s">
        <v>1</v>
      </c>
      <c r="AB10" s="40" t="s">
        <v>1</v>
      </c>
      <c r="AC10" s="41" t="s">
        <v>1</v>
      </c>
      <c r="AD10" s="40" t="s">
        <v>1</v>
      </c>
      <c r="AE10" s="40" t="s">
        <v>1</v>
      </c>
      <c r="AF10" s="40" t="s">
        <v>1</v>
      </c>
      <c r="AG10" s="41" t="s">
        <v>1</v>
      </c>
      <c r="AH10" s="7"/>
    </row>
    <row r="11" spans="1:34">
      <c r="A11" s="61" t="s">
        <v>80</v>
      </c>
      <c r="B11" s="38" t="s">
        <v>1</v>
      </c>
      <c r="C11" s="38" t="s">
        <v>1</v>
      </c>
      <c r="D11" s="38" t="s">
        <v>1</v>
      </c>
      <c r="E11" s="39" t="s">
        <v>1</v>
      </c>
      <c r="F11" s="38" t="s">
        <v>1</v>
      </c>
      <c r="G11" s="38" t="s">
        <v>1</v>
      </c>
      <c r="H11" s="38" t="s">
        <v>1</v>
      </c>
      <c r="I11" s="39" t="s">
        <v>1</v>
      </c>
      <c r="J11" s="38" t="s">
        <v>1</v>
      </c>
      <c r="K11" s="38" t="s">
        <v>1</v>
      </c>
      <c r="L11" s="38" t="s">
        <v>1</v>
      </c>
      <c r="M11" s="39" t="s">
        <v>1</v>
      </c>
      <c r="N11" s="38" t="s">
        <v>1</v>
      </c>
      <c r="O11" s="38" t="s">
        <v>1</v>
      </c>
      <c r="P11" s="38" t="s">
        <v>1</v>
      </c>
      <c r="Q11" s="39" t="s">
        <v>1</v>
      </c>
      <c r="R11" s="40" t="s">
        <v>1</v>
      </c>
      <c r="S11" s="40" t="s">
        <v>1</v>
      </c>
      <c r="T11" s="40" t="s">
        <v>1</v>
      </c>
      <c r="U11" s="41" t="s">
        <v>1</v>
      </c>
      <c r="V11" s="40" t="s">
        <v>1</v>
      </c>
      <c r="W11" s="40" t="s">
        <v>1</v>
      </c>
      <c r="X11" s="40">
        <v>455</v>
      </c>
      <c r="Y11" s="41">
        <v>5891</v>
      </c>
      <c r="Z11" s="40">
        <v>9191</v>
      </c>
      <c r="AA11" s="40">
        <v>1385</v>
      </c>
      <c r="AB11" s="40">
        <v>698</v>
      </c>
      <c r="AC11" s="41">
        <v>43286</v>
      </c>
      <c r="AD11" s="40">
        <v>4754</v>
      </c>
      <c r="AE11" s="40">
        <v>2788</v>
      </c>
      <c r="AF11" s="40">
        <v>160</v>
      </c>
      <c r="AG11" s="41">
        <v>109990</v>
      </c>
      <c r="AH11" s="7"/>
    </row>
    <row r="12" spans="1:34">
      <c r="A12" s="60" t="s">
        <v>81</v>
      </c>
      <c r="B12" s="38" t="s">
        <v>1</v>
      </c>
      <c r="C12" s="38" t="s">
        <v>1</v>
      </c>
      <c r="D12" s="38" t="s">
        <v>1</v>
      </c>
      <c r="E12" s="39" t="s">
        <v>1</v>
      </c>
      <c r="F12" s="38" t="s">
        <v>1</v>
      </c>
      <c r="G12" s="38" t="s">
        <v>1</v>
      </c>
      <c r="H12" s="38" t="s">
        <v>1</v>
      </c>
      <c r="I12" s="39" t="s">
        <v>1</v>
      </c>
      <c r="J12" s="38" t="s">
        <v>1</v>
      </c>
      <c r="K12" s="38" t="s">
        <v>1</v>
      </c>
      <c r="L12" s="38" t="s">
        <v>1</v>
      </c>
      <c r="M12" s="39" t="s">
        <v>1</v>
      </c>
      <c r="N12" s="38" t="s">
        <v>1</v>
      </c>
      <c r="O12" s="38" t="s">
        <v>1</v>
      </c>
      <c r="P12" s="38" t="s">
        <v>1</v>
      </c>
      <c r="Q12" s="39" t="s">
        <v>1</v>
      </c>
      <c r="R12" s="40" t="s">
        <v>1</v>
      </c>
      <c r="S12" s="40" t="s">
        <v>1</v>
      </c>
      <c r="T12" s="40" t="s">
        <v>1</v>
      </c>
      <c r="U12" s="41" t="s">
        <v>1</v>
      </c>
      <c r="V12" s="40" t="s">
        <v>1</v>
      </c>
      <c r="W12" s="40">
        <v>18668</v>
      </c>
      <c r="X12" s="40">
        <v>21727</v>
      </c>
      <c r="Y12" s="41">
        <v>30567</v>
      </c>
      <c r="Z12" s="40">
        <v>35085</v>
      </c>
      <c r="AA12" s="40">
        <v>52506</v>
      </c>
      <c r="AB12" s="40">
        <v>99384</v>
      </c>
      <c r="AC12" s="41">
        <v>119338</v>
      </c>
      <c r="AD12" s="40">
        <v>154017</v>
      </c>
      <c r="AE12" s="40">
        <v>169493</v>
      </c>
      <c r="AF12" s="40">
        <v>176778</v>
      </c>
      <c r="AG12" s="41">
        <v>191498</v>
      </c>
      <c r="AH12" s="7"/>
    </row>
    <row r="13" spans="1:34">
      <c r="A13" s="60" t="s">
        <v>82</v>
      </c>
      <c r="B13" s="38" t="s">
        <v>1</v>
      </c>
      <c r="C13" s="38" t="s">
        <v>1</v>
      </c>
      <c r="D13" s="38" t="s">
        <v>1</v>
      </c>
      <c r="E13" s="39" t="s">
        <v>1</v>
      </c>
      <c r="F13" s="38" t="s">
        <v>1</v>
      </c>
      <c r="G13" s="38" t="s">
        <v>1</v>
      </c>
      <c r="H13" s="38" t="s">
        <v>1</v>
      </c>
      <c r="I13" s="39" t="s">
        <v>1</v>
      </c>
      <c r="J13" s="38" t="s">
        <v>1</v>
      </c>
      <c r="K13" s="38" t="s">
        <v>1</v>
      </c>
      <c r="L13" s="38" t="s">
        <v>1</v>
      </c>
      <c r="M13" s="39" t="s">
        <v>1</v>
      </c>
      <c r="N13" s="38" t="s">
        <v>1</v>
      </c>
      <c r="O13" s="38" t="s">
        <v>1</v>
      </c>
      <c r="P13" s="38" t="s">
        <v>1</v>
      </c>
      <c r="Q13" s="39" t="s">
        <v>1</v>
      </c>
      <c r="R13" s="40" t="s">
        <v>1</v>
      </c>
      <c r="S13" s="40" t="s">
        <v>1</v>
      </c>
      <c r="T13" s="40" t="s">
        <v>1</v>
      </c>
      <c r="U13" s="41">
        <v>30862</v>
      </c>
      <c r="V13" s="40">
        <v>33859</v>
      </c>
      <c r="W13" s="40">
        <v>46902</v>
      </c>
      <c r="X13" s="40">
        <v>62662</v>
      </c>
      <c r="Y13" s="41">
        <v>98577</v>
      </c>
      <c r="Z13" s="40">
        <v>76073</v>
      </c>
      <c r="AA13" s="40">
        <v>85097</v>
      </c>
      <c r="AB13" s="40">
        <v>102359</v>
      </c>
      <c r="AC13" s="41">
        <v>94223</v>
      </c>
      <c r="AD13" s="40">
        <v>81395</v>
      </c>
      <c r="AE13" s="40">
        <v>61391</v>
      </c>
      <c r="AF13" s="40">
        <v>63841</v>
      </c>
      <c r="AG13" s="41">
        <v>118239</v>
      </c>
      <c r="AH13" s="7"/>
    </row>
    <row r="14" spans="1:34">
      <c r="A14" s="60" t="s">
        <v>83</v>
      </c>
      <c r="B14" s="38" t="s">
        <v>1</v>
      </c>
      <c r="C14" s="38" t="s">
        <v>1</v>
      </c>
      <c r="D14" s="38" t="s">
        <v>1</v>
      </c>
      <c r="E14" s="39" t="s">
        <v>1</v>
      </c>
      <c r="F14" s="38" t="s">
        <v>1</v>
      </c>
      <c r="G14" s="38" t="s">
        <v>1</v>
      </c>
      <c r="H14" s="38" t="s">
        <v>1</v>
      </c>
      <c r="I14" s="39" t="s">
        <v>1</v>
      </c>
      <c r="J14" s="38" t="s">
        <v>1</v>
      </c>
      <c r="K14" s="38" t="s">
        <v>1</v>
      </c>
      <c r="L14" s="38" t="s">
        <v>1</v>
      </c>
      <c r="M14" s="39" t="s">
        <v>1</v>
      </c>
      <c r="N14" s="38" t="s">
        <v>1</v>
      </c>
      <c r="O14" s="38" t="s">
        <v>1</v>
      </c>
      <c r="P14" s="38" t="s">
        <v>1</v>
      </c>
      <c r="Q14" s="39" t="s">
        <v>1</v>
      </c>
      <c r="R14" s="40" t="s">
        <v>1</v>
      </c>
      <c r="S14" s="40" t="s">
        <v>1</v>
      </c>
      <c r="T14" s="40" t="s">
        <v>1</v>
      </c>
      <c r="U14" s="41">
        <v>1714</v>
      </c>
      <c r="V14" s="40">
        <v>3198</v>
      </c>
      <c r="W14" s="40">
        <v>6510</v>
      </c>
      <c r="X14" s="40">
        <v>7190</v>
      </c>
      <c r="Y14" s="41">
        <v>10698</v>
      </c>
      <c r="Z14" s="40">
        <v>10494</v>
      </c>
      <c r="AA14" s="40">
        <v>16602</v>
      </c>
      <c r="AB14" s="40">
        <v>17055</v>
      </c>
      <c r="AC14" s="41">
        <v>20900</v>
      </c>
      <c r="AD14" s="40">
        <v>25903</v>
      </c>
      <c r="AE14" s="40">
        <v>26641</v>
      </c>
      <c r="AF14" s="40">
        <v>27217</v>
      </c>
      <c r="AG14" s="41">
        <v>81210</v>
      </c>
      <c r="AH14" s="7"/>
    </row>
    <row r="15" spans="1:34">
      <c r="A15" s="60" t="s">
        <v>84</v>
      </c>
      <c r="B15" s="38" t="s">
        <v>1</v>
      </c>
      <c r="C15" s="38" t="s">
        <v>1</v>
      </c>
      <c r="D15" s="38" t="s">
        <v>1</v>
      </c>
      <c r="E15" s="39" t="s">
        <v>1</v>
      </c>
      <c r="F15" s="38" t="s">
        <v>1</v>
      </c>
      <c r="G15" s="38" t="s">
        <v>1</v>
      </c>
      <c r="H15" s="38" t="s">
        <v>1</v>
      </c>
      <c r="I15" s="39" t="s">
        <v>1</v>
      </c>
      <c r="J15" s="38" t="s">
        <v>1</v>
      </c>
      <c r="K15" s="38" t="s">
        <v>1</v>
      </c>
      <c r="L15" s="38" t="s">
        <v>1</v>
      </c>
      <c r="M15" s="39" t="s">
        <v>1</v>
      </c>
      <c r="N15" s="38" t="s">
        <v>1</v>
      </c>
      <c r="O15" s="38" t="s">
        <v>1</v>
      </c>
      <c r="P15" s="38" t="s">
        <v>1</v>
      </c>
      <c r="Q15" s="39" t="s">
        <v>1</v>
      </c>
      <c r="R15" s="48" t="s">
        <v>1</v>
      </c>
      <c r="S15" s="48" t="s">
        <v>1</v>
      </c>
      <c r="T15" s="48" t="s">
        <v>1</v>
      </c>
      <c r="U15" s="49" t="s">
        <v>1</v>
      </c>
      <c r="V15" s="48" t="s">
        <v>1</v>
      </c>
      <c r="W15" s="48" t="s">
        <v>1</v>
      </c>
      <c r="X15" s="48" t="s">
        <v>1</v>
      </c>
      <c r="Y15" s="49" t="s">
        <v>1</v>
      </c>
      <c r="Z15" s="48" t="s">
        <v>1</v>
      </c>
      <c r="AA15" s="48" t="s">
        <v>1</v>
      </c>
      <c r="AB15" s="48" t="s">
        <v>1</v>
      </c>
      <c r="AC15" s="49" t="s">
        <v>1</v>
      </c>
      <c r="AD15" s="48" t="s">
        <v>1</v>
      </c>
      <c r="AE15" s="48" t="s">
        <v>1</v>
      </c>
      <c r="AF15" s="48" t="s">
        <v>1</v>
      </c>
      <c r="AG15" s="49" t="s">
        <v>1</v>
      </c>
      <c r="AH15" s="7"/>
    </row>
    <row r="16" spans="1:34" ht="27.6">
      <c r="A16" s="60" t="s">
        <v>85</v>
      </c>
      <c r="B16" s="46" t="s">
        <v>1</v>
      </c>
      <c r="C16" s="46" t="s">
        <v>1</v>
      </c>
      <c r="D16" s="46" t="s">
        <v>1</v>
      </c>
      <c r="E16" s="47" t="s">
        <v>1</v>
      </c>
      <c r="F16" s="46" t="s">
        <v>1</v>
      </c>
      <c r="G16" s="46" t="s">
        <v>1</v>
      </c>
      <c r="H16" s="46" t="s">
        <v>1</v>
      </c>
      <c r="I16" s="47" t="s">
        <v>1</v>
      </c>
      <c r="J16" s="46" t="s">
        <v>1</v>
      </c>
      <c r="K16" s="46" t="s">
        <v>1</v>
      </c>
      <c r="L16" s="46" t="s">
        <v>1</v>
      </c>
      <c r="M16" s="47" t="s">
        <v>1</v>
      </c>
      <c r="N16" s="46" t="s">
        <v>1</v>
      </c>
      <c r="O16" s="46" t="s">
        <v>1</v>
      </c>
      <c r="P16" s="46" t="s">
        <v>1</v>
      </c>
      <c r="Q16" s="47" t="s">
        <v>1</v>
      </c>
      <c r="R16" s="40" t="s">
        <v>1</v>
      </c>
      <c r="S16" s="40" t="s">
        <v>1</v>
      </c>
      <c r="T16" s="40" t="s">
        <v>1</v>
      </c>
      <c r="U16" s="41" t="s">
        <v>1</v>
      </c>
      <c r="V16" s="40" t="s">
        <v>1</v>
      </c>
      <c r="W16" s="40" t="s">
        <v>1</v>
      </c>
      <c r="X16" s="40" t="s">
        <v>1</v>
      </c>
      <c r="Y16" s="41" t="s">
        <v>1</v>
      </c>
      <c r="Z16" s="40" t="s">
        <v>1</v>
      </c>
      <c r="AA16" s="40" t="s">
        <v>1</v>
      </c>
      <c r="AB16" s="40" t="s">
        <v>1</v>
      </c>
      <c r="AC16" s="41" t="s">
        <v>1</v>
      </c>
      <c r="AD16" s="40" t="s">
        <v>1</v>
      </c>
      <c r="AE16" s="40" t="s">
        <v>1</v>
      </c>
      <c r="AF16" s="40" t="s">
        <v>1</v>
      </c>
      <c r="AG16" s="41" t="s">
        <v>1</v>
      </c>
      <c r="AH16" s="7"/>
    </row>
    <row r="17" spans="1:34">
      <c r="A17" s="60" t="s">
        <v>86</v>
      </c>
      <c r="B17" s="38" t="s">
        <v>1</v>
      </c>
      <c r="C17" s="38" t="s">
        <v>1</v>
      </c>
      <c r="D17" s="38" t="s">
        <v>1</v>
      </c>
      <c r="E17" s="39" t="s">
        <v>1</v>
      </c>
      <c r="F17" s="38" t="s">
        <v>1</v>
      </c>
      <c r="G17" s="38" t="s">
        <v>1</v>
      </c>
      <c r="H17" s="38" t="s">
        <v>1</v>
      </c>
      <c r="I17" s="39" t="s">
        <v>1</v>
      </c>
      <c r="J17" s="38" t="s">
        <v>1</v>
      </c>
      <c r="K17" s="38" t="s">
        <v>1</v>
      </c>
      <c r="L17" s="38" t="s">
        <v>1</v>
      </c>
      <c r="M17" s="39" t="s">
        <v>1</v>
      </c>
      <c r="N17" s="38" t="s">
        <v>1</v>
      </c>
      <c r="O17" s="38" t="s">
        <v>1</v>
      </c>
      <c r="P17" s="38" t="s">
        <v>1</v>
      </c>
      <c r="Q17" s="39" t="s">
        <v>1</v>
      </c>
      <c r="R17" s="40" t="s">
        <v>1</v>
      </c>
      <c r="S17" s="40" t="s">
        <v>1</v>
      </c>
      <c r="T17" s="40" t="s">
        <v>1</v>
      </c>
      <c r="U17" s="41" t="s">
        <v>1</v>
      </c>
      <c r="V17" s="40" t="s">
        <v>1</v>
      </c>
      <c r="W17" s="40">
        <v>1032512</v>
      </c>
      <c r="X17" s="40">
        <v>984095</v>
      </c>
      <c r="Y17" s="41">
        <v>1076666</v>
      </c>
      <c r="Z17" s="40">
        <v>1179749</v>
      </c>
      <c r="AA17" s="40">
        <v>1271884</v>
      </c>
      <c r="AB17" s="40">
        <v>1526290</v>
      </c>
      <c r="AC17" s="41">
        <v>1545981</v>
      </c>
      <c r="AD17" s="40">
        <v>1675468</v>
      </c>
      <c r="AE17" s="40">
        <v>1797005</v>
      </c>
      <c r="AF17" s="40">
        <v>1814896</v>
      </c>
      <c r="AG17" s="41">
        <v>2669412</v>
      </c>
      <c r="AH17" s="7"/>
    </row>
    <row r="18" spans="1:34">
      <c r="A18" s="64" t="s">
        <v>87</v>
      </c>
      <c r="B18" s="42" t="s">
        <v>1</v>
      </c>
      <c r="C18" s="42" t="s">
        <v>1</v>
      </c>
      <c r="D18" s="42" t="s">
        <v>1</v>
      </c>
      <c r="E18" s="43" t="s">
        <v>1</v>
      </c>
      <c r="F18" s="42" t="s">
        <v>1</v>
      </c>
      <c r="G18" s="42" t="s">
        <v>1</v>
      </c>
      <c r="H18" s="42" t="s">
        <v>1</v>
      </c>
      <c r="I18" s="43" t="s">
        <v>1</v>
      </c>
      <c r="J18" s="42" t="s">
        <v>1</v>
      </c>
      <c r="K18" s="42" t="s">
        <v>1</v>
      </c>
      <c r="L18" s="42" t="s">
        <v>1</v>
      </c>
      <c r="M18" s="43" t="s">
        <v>1</v>
      </c>
      <c r="N18" s="42" t="s">
        <v>1</v>
      </c>
      <c r="O18" s="42" t="s">
        <v>1</v>
      </c>
      <c r="P18" s="42" t="s">
        <v>1</v>
      </c>
      <c r="Q18" s="43" t="s">
        <v>1</v>
      </c>
      <c r="R18" s="42" t="s">
        <v>1</v>
      </c>
      <c r="S18" s="42" t="s">
        <v>1</v>
      </c>
      <c r="T18" s="42" t="s">
        <v>1</v>
      </c>
      <c r="U18" s="43">
        <v>5116</v>
      </c>
      <c r="V18" s="42">
        <v>12468</v>
      </c>
      <c r="W18" s="42">
        <v>13384</v>
      </c>
      <c r="X18" s="42">
        <v>27787</v>
      </c>
      <c r="Y18" s="43">
        <v>73731</v>
      </c>
      <c r="Z18" s="42">
        <v>90770</v>
      </c>
      <c r="AA18" s="42">
        <v>86099</v>
      </c>
      <c r="AB18" s="42">
        <v>152272</v>
      </c>
      <c r="AC18" s="43">
        <v>207367</v>
      </c>
      <c r="AD18" s="42">
        <v>218936</v>
      </c>
      <c r="AE18" s="42">
        <v>291216</v>
      </c>
      <c r="AF18" s="42">
        <v>365353</v>
      </c>
      <c r="AG18" s="43">
        <v>429545</v>
      </c>
      <c r="AH18" s="7"/>
    </row>
    <row r="19" spans="1:34" s="18" customFormat="1">
      <c r="A19" s="58" t="s">
        <v>44</v>
      </c>
      <c r="B19" s="53" t="s">
        <v>1</v>
      </c>
      <c r="C19" s="53" t="s">
        <v>1</v>
      </c>
      <c r="D19" s="53" t="s">
        <v>1</v>
      </c>
      <c r="E19" s="55" t="s">
        <v>1</v>
      </c>
      <c r="F19" s="53" t="s">
        <v>1</v>
      </c>
      <c r="G19" s="53" t="s">
        <v>1</v>
      </c>
      <c r="H19" s="53" t="s">
        <v>1</v>
      </c>
      <c r="I19" s="55" t="s">
        <v>1</v>
      </c>
      <c r="J19" s="53" t="s">
        <v>1</v>
      </c>
      <c r="K19" s="53" t="s">
        <v>1</v>
      </c>
      <c r="L19" s="53" t="s">
        <v>1</v>
      </c>
      <c r="M19" s="55" t="s">
        <v>1</v>
      </c>
      <c r="N19" s="53" t="s">
        <v>1</v>
      </c>
      <c r="O19" s="53" t="s">
        <v>1</v>
      </c>
      <c r="P19" s="53" t="s">
        <v>1</v>
      </c>
      <c r="Q19" s="55" t="s">
        <v>1</v>
      </c>
      <c r="R19" s="53" t="s">
        <v>1</v>
      </c>
      <c r="S19" s="53" t="s">
        <v>1</v>
      </c>
      <c r="T19" s="53" t="s">
        <v>1</v>
      </c>
      <c r="U19" s="55">
        <f>SUM(U6:U18)</f>
        <v>37692</v>
      </c>
      <c r="V19" s="53">
        <f>SUM(V6:V18)</f>
        <v>297180</v>
      </c>
      <c r="W19" s="53">
        <f t="shared" ref="W19:X19" si="0">SUM(W6:W18)</f>
        <v>3202825</v>
      </c>
      <c r="X19" s="53">
        <f t="shared" si="0"/>
        <v>5028478</v>
      </c>
      <c r="Y19" s="55">
        <f>SUM(Y6:Y18)</f>
        <v>8113098</v>
      </c>
      <c r="Z19" s="53">
        <f>SUM(Z6:Z18)</f>
        <v>9960107</v>
      </c>
      <c r="AA19" s="53">
        <f t="shared" ref="AA19:AB19" si="1">SUM(AA6:AA18)</f>
        <v>11742825</v>
      </c>
      <c r="AB19" s="53">
        <f t="shared" si="1"/>
        <v>15044853</v>
      </c>
      <c r="AC19" s="55">
        <f>SUM(AC6:AC18)</f>
        <v>18850911</v>
      </c>
      <c r="AD19" s="53">
        <f>SUM(AD6:AD18)</f>
        <v>19423786</v>
      </c>
      <c r="AE19" s="53">
        <f t="shared" ref="AE19:AF19" si="2">SUM(AE6:AE18)</f>
        <v>22725942</v>
      </c>
      <c r="AF19" s="53">
        <f t="shared" si="2"/>
        <v>23672812</v>
      </c>
      <c r="AG19" s="55">
        <f>SUM(AG6:AG18)</f>
        <v>37031477</v>
      </c>
      <c r="AH19" s="14"/>
    </row>
    <row r="20" spans="1:34" s="33" customFormat="1">
      <c r="A20" s="145" t="s">
        <v>45</v>
      </c>
      <c r="B20" s="44" t="s">
        <v>1</v>
      </c>
      <c r="C20" s="44" t="s">
        <v>1</v>
      </c>
      <c r="D20" s="44" t="s">
        <v>1</v>
      </c>
      <c r="E20" s="45" t="s">
        <v>1</v>
      </c>
      <c r="F20" s="44" t="s">
        <v>1</v>
      </c>
      <c r="G20" s="44" t="s">
        <v>1</v>
      </c>
      <c r="H20" s="44" t="s">
        <v>1</v>
      </c>
      <c r="I20" s="45" t="s">
        <v>1</v>
      </c>
      <c r="J20" s="44" t="s">
        <v>1</v>
      </c>
      <c r="K20" s="44" t="s">
        <v>1</v>
      </c>
      <c r="L20" s="44" t="s">
        <v>1</v>
      </c>
      <c r="M20" s="45" t="s">
        <v>1</v>
      </c>
      <c r="N20" s="44" t="s">
        <v>1</v>
      </c>
      <c r="O20" s="44" t="s">
        <v>1</v>
      </c>
      <c r="P20" s="44" t="s">
        <v>1</v>
      </c>
      <c r="Q20" s="45" t="s">
        <v>1</v>
      </c>
      <c r="R20" s="44" t="s">
        <v>1</v>
      </c>
      <c r="S20" s="44" t="s">
        <v>1</v>
      </c>
      <c r="T20" s="44" t="s">
        <v>1</v>
      </c>
      <c r="U20" s="45">
        <f t="shared" ref="U20:AG20" si="3">U19+U4</f>
        <v>1138798</v>
      </c>
      <c r="V20" s="44">
        <f t="shared" si="3"/>
        <v>1412915</v>
      </c>
      <c r="W20" s="44">
        <f t="shared" si="3"/>
        <v>4350049</v>
      </c>
      <c r="X20" s="44">
        <f t="shared" si="3"/>
        <v>6181234</v>
      </c>
      <c r="Y20" s="45">
        <f t="shared" si="3"/>
        <v>9282271</v>
      </c>
      <c r="Z20" s="44">
        <f t="shared" si="3"/>
        <v>11117610</v>
      </c>
      <c r="AA20" s="44">
        <f t="shared" si="3"/>
        <v>12940206</v>
      </c>
      <c r="AB20" s="44">
        <f t="shared" si="3"/>
        <v>16264560</v>
      </c>
      <c r="AC20" s="45">
        <f t="shared" si="3"/>
        <v>20390177</v>
      </c>
      <c r="AD20" s="44">
        <f t="shared" si="3"/>
        <v>20982179</v>
      </c>
      <c r="AE20" s="44">
        <f t="shared" si="3"/>
        <v>24298408</v>
      </c>
      <c r="AF20" s="44">
        <f t="shared" si="3"/>
        <v>25271305</v>
      </c>
      <c r="AG20" s="45">
        <f t="shared" si="3"/>
        <v>38759900</v>
      </c>
      <c r="AH20" s="52"/>
    </row>
    <row r="21" spans="1:34" s="33" customFormat="1" ht="20.399999999999999">
      <c r="A21" s="82" t="s">
        <v>136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  <c r="AG21" s="86"/>
    </row>
    <row r="22" spans="1:34">
      <c r="A22" s="79" t="s">
        <v>41</v>
      </c>
      <c r="B22" s="2" t="s">
        <v>1</v>
      </c>
      <c r="C22" s="2" t="s">
        <v>1</v>
      </c>
      <c r="D22" s="2" t="s">
        <v>1</v>
      </c>
      <c r="E22" s="17" t="s">
        <v>1</v>
      </c>
      <c r="F22" s="2" t="s">
        <v>1</v>
      </c>
      <c r="G22" s="2" t="s">
        <v>1</v>
      </c>
      <c r="H22" s="2" t="s">
        <v>1</v>
      </c>
      <c r="I22" s="17" t="s">
        <v>1</v>
      </c>
      <c r="J22" s="2" t="s">
        <v>1</v>
      </c>
      <c r="K22" s="2" t="s">
        <v>1</v>
      </c>
      <c r="L22" s="2" t="s">
        <v>1</v>
      </c>
      <c r="M22" s="17" t="s">
        <v>1</v>
      </c>
      <c r="N22" s="2" t="s">
        <v>1</v>
      </c>
      <c r="O22" s="2" t="s">
        <v>1</v>
      </c>
      <c r="P22" s="2" t="s">
        <v>1</v>
      </c>
      <c r="Q22" s="17" t="s">
        <v>1</v>
      </c>
      <c r="R22" s="2" t="s">
        <v>1</v>
      </c>
      <c r="S22" s="2" t="s">
        <v>1</v>
      </c>
      <c r="T22" s="2" t="s">
        <v>1</v>
      </c>
      <c r="U22" s="17">
        <v>268.36</v>
      </c>
      <c r="V22" s="2">
        <v>226.91</v>
      </c>
      <c r="W22" s="2">
        <v>114.54</v>
      </c>
      <c r="X22" s="2">
        <v>88.55</v>
      </c>
      <c r="Y22" s="17">
        <v>63.64</v>
      </c>
      <c r="Z22" s="2">
        <v>46.13</v>
      </c>
      <c r="AA22" s="2">
        <v>35.92</v>
      </c>
      <c r="AB22" s="2">
        <v>38.130000000000003</v>
      </c>
      <c r="AC22" s="17">
        <v>28.05</v>
      </c>
      <c r="AD22" s="2">
        <v>25.07</v>
      </c>
      <c r="AE22" s="2">
        <v>25.75</v>
      </c>
      <c r="AF22" s="2" t="s">
        <v>89</v>
      </c>
      <c r="AG22" s="17">
        <v>27.83</v>
      </c>
    </row>
    <row r="23" spans="1:34">
      <c r="A23" s="79" t="s">
        <v>62</v>
      </c>
      <c r="B23" s="2" t="s">
        <v>1</v>
      </c>
      <c r="C23" s="2" t="s">
        <v>1</v>
      </c>
      <c r="D23" s="2" t="s">
        <v>1</v>
      </c>
      <c r="E23" s="17" t="s">
        <v>1</v>
      </c>
      <c r="F23" s="2" t="s">
        <v>1</v>
      </c>
      <c r="G23" s="2" t="s">
        <v>1</v>
      </c>
      <c r="H23" s="2" t="s">
        <v>1</v>
      </c>
      <c r="I23" s="17" t="s">
        <v>1</v>
      </c>
      <c r="J23" s="2" t="s">
        <v>1</v>
      </c>
      <c r="K23" s="2" t="s">
        <v>1</v>
      </c>
      <c r="L23" s="2" t="s">
        <v>1</v>
      </c>
      <c r="M23" s="17" t="s">
        <v>1</v>
      </c>
      <c r="N23" s="2" t="s">
        <v>1</v>
      </c>
      <c r="O23" s="2" t="s">
        <v>1</v>
      </c>
      <c r="P23" s="2" t="s">
        <v>1</v>
      </c>
      <c r="Q23" s="17" t="s">
        <v>1</v>
      </c>
      <c r="R23" s="2" t="s">
        <v>1</v>
      </c>
      <c r="S23" s="2" t="s">
        <v>1</v>
      </c>
      <c r="T23" s="2" t="s">
        <v>1</v>
      </c>
      <c r="U23" s="17">
        <f t="shared" ref="U23:AG23" si="4">U4/U20*100</f>
        <v>96.690194397952936</v>
      </c>
      <c r="V23" s="2">
        <f t="shared" si="4"/>
        <v>78.966887604703757</v>
      </c>
      <c r="W23" s="2">
        <f t="shared" si="4"/>
        <v>26.372668445803715</v>
      </c>
      <c r="X23" s="2">
        <f t="shared" si="4"/>
        <v>18.64928588692808</v>
      </c>
      <c r="Y23" s="17">
        <f t="shared" si="4"/>
        <v>12.595764549429767</v>
      </c>
      <c r="Z23" s="2">
        <f t="shared" si="4"/>
        <v>10.411437350293813</v>
      </c>
      <c r="AA23" s="2">
        <f t="shared" si="4"/>
        <v>9.2531834500934522</v>
      </c>
      <c r="AB23" s="2">
        <f t="shared" si="4"/>
        <v>7.4991699744721041</v>
      </c>
      <c r="AC23" s="17">
        <f t="shared" si="4"/>
        <v>7.5490565873949995</v>
      </c>
      <c r="AD23" s="2">
        <f t="shared" si="4"/>
        <v>7.4272219296194164</v>
      </c>
      <c r="AE23" s="2">
        <f t="shared" si="4"/>
        <v>6.4714774729274449</v>
      </c>
      <c r="AF23" s="2">
        <f t="shared" si="4"/>
        <v>6.3253282725209488</v>
      </c>
      <c r="AG23" s="17">
        <f t="shared" si="4"/>
        <v>4.4593071705551361</v>
      </c>
    </row>
    <row r="24" spans="1:34">
      <c r="A24" s="79" t="s">
        <v>46</v>
      </c>
      <c r="B24" s="2" t="s">
        <v>1</v>
      </c>
      <c r="C24" s="2" t="s">
        <v>1</v>
      </c>
      <c r="D24" s="2" t="s">
        <v>1</v>
      </c>
      <c r="E24" s="17" t="s">
        <v>1</v>
      </c>
      <c r="F24" s="2" t="s">
        <v>1</v>
      </c>
      <c r="G24" s="2" t="s">
        <v>1</v>
      </c>
      <c r="H24" s="2" t="s">
        <v>1</v>
      </c>
      <c r="I24" s="17" t="s">
        <v>1</v>
      </c>
      <c r="J24" s="2" t="s">
        <v>1</v>
      </c>
      <c r="K24" s="2" t="s">
        <v>1</v>
      </c>
      <c r="L24" s="2" t="s">
        <v>1</v>
      </c>
      <c r="M24" s="17" t="s">
        <v>1</v>
      </c>
      <c r="N24" s="2" t="s">
        <v>1</v>
      </c>
      <c r="O24" s="2" t="s">
        <v>1</v>
      </c>
      <c r="P24" s="2" t="s">
        <v>1</v>
      </c>
      <c r="Q24" s="17" t="s">
        <v>1</v>
      </c>
      <c r="R24" s="2" t="s">
        <v>1</v>
      </c>
      <c r="S24" s="2" t="s">
        <v>1</v>
      </c>
      <c r="T24" s="2" t="s">
        <v>1</v>
      </c>
      <c r="U24" s="17">
        <f t="shared" ref="U24:AG24" si="5">U19/U4</f>
        <v>3.4231036793914482E-2</v>
      </c>
      <c r="V24" s="2">
        <f t="shared" si="5"/>
        <v>0.26635356962002626</v>
      </c>
      <c r="W24" s="2">
        <f t="shared" si="5"/>
        <v>2.7918043904241894</v>
      </c>
      <c r="X24" s="2">
        <f t="shared" si="5"/>
        <v>4.3621356123932555</v>
      </c>
      <c r="Y24" s="17">
        <f t="shared" si="5"/>
        <v>6.9391766658997431</v>
      </c>
      <c r="Z24" s="2">
        <f t="shared" si="5"/>
        <v>8.6048217585613163</v>
      </c>
      <c r="AA24" s="2">
        <f t="shared" si="5"/>
        <v>9.8070914771488766</v>
      </c>
      <c r="AB24" s="2">
        <f t="shared" si="5"/>
        <v>12.33480909759475</v>
      </c>
      <c r="AC24" s="17">
        <f t="shared" si="5"/>
        <v>12.246688356658304</v>
      </c>
      <c r="AD24" s="2">
        <f t="shared" si="5"/>
        <v>12.463984373646442</v>
      </c>
      <c r="AE24" s="2">
        <f t="shared" si="5"/>
        <v>14.452421864765279</v>
      </c>
      <c r="AF24" s="2">
        <f t="shared" si="5"/>
        <v>14.80945615651742</v>
      </c>
      <c r="AG24" s="17">
        <f t="shared" si="5"/>
        <v>21.425008230045538</v>
      </c>
    </row>
    <row r="25" spans="1:34">
      <c r="A25" s="79" t="s">
        <v>47</v>
      </c>
      <c r="B25" s="2" t="s">
        <v>1</v>
      </c>
      <c r="C25" s="2" t="s">
        <v>1</v>
      </c>
      <c r="D25" s="2" t="s">
        <v>1</v>
      </c>
      <c r="E25" s="17" t="s">
        <v>1</v>
      </c>
      <c r="F25" s="2" t="s">
        <v>1</v>
      </c>
      <c r="G25" s="2" t="s">
        <v>1</v>
      </c>
      <c r="H25" s="2" t="s">
        <v>1</v>
      </c>
      <c r="I25" s="17" t="s">
        <v>1</v>
      </c>
      <c r="J25" s="2" t="s">
        <v>1</v>
      </c>
      <c r="K25" s="2" t="s">
        <v>1</v>
      </c>
      <c r="L25" s="2" t="s">
        <v>1</v>
      </c>
      <c r="M25" s="17" t="s">
        <v>1</v>
      </c>
      <c r="N25" s="2" t="s">
        <v>1</v>
      </c>
      <c r="O25" s="2" t="s">
        <v>1</v>
      </c>
      <c r="P25" s="2" t="s">
        <v>1</v>
      </c>
      <c r="Q25" s="17" t="s">
        <v>1</v>
      </c>
      <c r="R25" s="2" t="s">
        <v>1</v>
      </c>
      <c r="S25" s="2" t="s">
        <v>1</v>
      </c>
      <c r="T25" s="2" t="s">
        <v>1</v>
      </c>
      <c r="U25" s="17">
        <f t="shared" ref="U25:AG25" si="6">U20/U4</f>
        <v>1.0342310367939145</v>
      </c>
      <c r="V25" s="2">
        <f t="shared" si="6"/>
        <v>1.2663535696200263</v>
      </c>
      <c r="W25" s="2">
        <f t="shared" si="6"/>
        <v>3.7918043904241894</v>
      </c>
      <c r="X25" s="2">
        <f t="shared" si="6"/>
        <v>5.3621356123932555</v>
      </c>
      <c r="Y25" s="17">
        <f t="shared" si="6"/>
        <v>7.9391766658997431</v>
      </c>
      <c r="Z25" s="2">
        <f t="shared" si="6"/>
        <v>9.6048217585613163</v>
      </c>
      <c r="AA25" s="2">
        <f t="shared" si="6"/>
        <v>10.807091477148877</v>
      </c>
      <c r="AB25" s="2">
        <f t="shared" si="6"/>
        <v>13.33480909759475</v>
      </c>
      <c r="AC25" s="17">
        <f t="shared" si="6"/>
        <v>13.246688356658304</v>
      </c>
      <c r="AD25" s="2">
        <f t="shared" si="6"/>
        <v>13.463984373646442</v>
      </c>
      <c r="AE25" s="2">
        <f t="shared" si="6"/>
        <v>15.452421864765279</v>
      </c>
      <c r="AF25" s="2">
        <f t="shared" si="6"/>
        <v>15.80945615651742</v>
      </c>
      <c r="AG25" s="17">
        <f t="shared" si="6"/>
        <v>22.425008230045538</v>
      </c>
    </row>
    <row r="26" spans="1:34" s="16" customFormat="1">
      <c r="A26" s="79" t="s">
        <v>63</v>
      </c>
      <c r="B26" s="15" t="s">
        <v>1</v>
      </c>
      <c r="C26" s="15" t="s">
        <v>1</v>
      </c>
      <c r="D26" s="15" t="s">
        <v>1</v>
      </c>
      <c r="E26" s="8" t="s">
        <v>1</v>
      </c>
      <c r="F26" s="15" t="s">
        <v>1</v>
      </c>
      <c r="G26" s="15" t="s">
        <v>1</v>
      </c>
      <c r="H26" s="15" t="s">
        <v>1</v>
      </c>
      <c r="I26" s="8" t="s">
        <v>1</v>
      </c>
      <c r="J26" s="15" t="s">
        <v>1</v>
      </c>
      <c r="K26" s="15" t="s">
        <v>1</v>
      </c>
      <c r="L26" s="15" t="s">
        <v>1</v>
      </c>
      <c r="M26" s="8" t="s">
        <v>1</v>
      </c>
      <c r="N26" s="15" t="s">
        <v>1</v>
      </c>
      <c r="O26" s="15" t="s">
        <v>1</v>
      </c>
      <c r="P26" s="15" t="s">
        <v>1</v>
      </c>
      <c r="Q26" s="8" t="s">
        <v>1</v>
      </c>
      <c r="R26" s="15" t="s">
        <v>1</v>
      </c>
      <c r="S26" s="15" t="s">
        <v>1</v>
      </c>
      <c r="T26" s="15" t="s">
        <v>1</v>
      </c>
      <c r="U26" s="8">
        <f t="shared" ref="U26:AG26" si="7">U4/U19*100</f>
        <v>2921.3254802080014</v>
      </c>
      <c r="V26" s="15">
        <f t="shared" si="7"/>
        <v>375.44081028332999</v>
      </c>
      <c r="W26" s="15">
        <f t="shared" si="7"/>
        <v>35.819128425686699</v>
      </c>
      <c r="X26" s="15">
        <f t="shared" si="7"/>
        <v>22.924550927735986</v>
      </c>
      <c r="Y26" s="8">
        <f t="shared" si="7"/>
        <v>14.410931557834012</v>
      </c>
      <c r="Z26" s="15">
        <f t="shared" si="7"/>
        <v>11.621391215977901</v>
      </c>
      <c r="AA26" s="15">
        <f t="shared" si="7"/>
        <v>10.1967030931654</v>
      </c>
      <c r="AB26" s="15">
        <f t="shared" si="7"/>
        <v>8.1071380358452156</v>
      </c>
      <c r="AC26" s="8">
        <f t="shared" si="7"/>
        <v>8.1654727455877332</v>
      </c>
      <c r="AD26" s="15">
        <f t="shared" si="7"/>
        <v>8.0231166055886334</v>
      </c>
      <c r="AE26" s="15">
        <f t="shared" si="7"/>
        <v>6.9192555362501587</v>
      </c>
      <c r="AF26" s="15">
        <f t="shared" si="7"/>
        <v>6.752442422133881</v>
      </c>
      <c r="AG26" s="9">
        <f t="shared" si="7"/>
        <v>4.667442781177753</v>
      </c>
    </row>
  </sheetData>
  <mergeCells count="33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AE1:AE2"/>
    <mergeCell ref="AF1:AF2"/>
    <mergeCell ref="AG1:AG2"/>
    <mergeCell ref="Z1:Z2"/>
    <mergeCell ref="AA1:AA2"/>
    <mergeCell ref="AB1:AB2"/>
    <mergeCell ref="AC1:AC2"/>
    <mergeCell ref="AD1:A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1E744-C2D3-4686-AF16-DAB8341879B2}">
  <dimension ref="B1:AE77"/>
  <sheetViews>
    <sheetView showGridLines="0" zoomScale="70" zoomScaleNormal="70" workbookViewId="0">
      <selection activeCell="F5" sqref="F5"/>
    </sheetView>
  </sheetViews>
  <sheetFormatPr defaultRowHeight="13.8"/>
  <cols>
    <col min="1" max="1" width="2.6640625" style="2" customWidth="1"/>
    <col min="2" max="2" width="12.5546875" style="2" customWidth="1"/>
    <col min="3" max="9" width="14.6640625" style="2" bestFit="1" customWidth="1"/>
    <col min="10" max="10" width="14.6640625" style="2" customWidth="1"/>
    <col min="11" max="11" width="6.6640625" style="2" bestFit="1" customWidth="1"/>
    <col min="12" max="12" width="9.21875" style="2" bestFit="1" customWidth="1"/>
    <col min="13" max="19" width="8.88671875" style="2"/>
    <col min="20" max="27" width="9.5546875" style="2" customWidth="1"/>
    <col min="28" max="16384" width="8.88671875" style="2"/>
  </cols>
  <sheetData>
    <row r="1" spans="2:10" ht="14.4" thickBot="1">
      <c r="B1" s="339" t="s">
        <v>172</v>
      </c>
      <c r="C1" s="340"/>
      <c r="D1" s="340"/>
      <c r="E1" s="340"/>
      <c r="F1" s="340"/>
      <c r="G1" s="340"/>
      <c r="H1" s="340"/>
      <c r="I1" s="341" t="s">
        <v>127</v>
      </c>
      <c r="J1" s="342"/>
    </row>
    <row r="2" spans="2:10">
      <c r="B2" s="188"/>
      <c r="C2" s="182">
        <v>2014</v>
      </c>
      <c r="D2" s="182">
        <v>2015</v>
      </c>
      <c r="E2" s="182">
        <v>2016</v>
      </c>
      <c r="F2" s="182">
        <v>2017</v>
      </c>
      <c r="G2" s="182">
        <v>2018</v>
      </c>
      <c r="H2" s="182">
        <v>2019</v>
      </c>
      <c r="I2" s="182">
        <v>2020</v>
      </c>
      <c r="J2" s="189">
        <v>2021</v>
      </c>
    </row>
    <row r="3" spans="2:10">
      <c r="B3" s="238" t="s">
        <v>210</v>
      </c>
      <c r="C3" s="10">
        <f>'Albaraka Turk (éves)'!B9</f>
        <v>1790927</v>
      </c>
      <c r="D3" s="10">
        <f>'Albaraka Turk (éves)'!C9</f>
        <v>2103914</v>
      </c>
      <c r="E3" s="10">
        <f>'Albaraka Turk (éves)'!D9</f>
        <v>2279593</v>
      </c>
      <c r="F3" s="10">
        <f>'Albaraka Turk (éves)'!E9</f>
        <v>2481506</v>
      </c>
      <c r="G3" s="10">
        <f>'Albaraka Turk (éves)'!F9</f>
        <v>3261451</v>
      </c>
      <c r="H3" s="10">
        <f>'Albaraka Turk (éves)'!G9</f>
        <v>3821929</v>
      </c>
      <c r="I3" s="10">
        <f>'Albaraka Turk (éves)'!H9</f>
        <v>4044227</v>
      </c>
      <c r="J3" s="69">
        <f>'Albaraka Turk (éves)'!I9</f>
        <v>4626853</v>
      </c>
    </row>
    <row r="4" spans="2:10">
      <c r="B4" s="238" t="s">
        <v>211</v>
      </c>
      <c r="C4" s="10">
        <f>'Kuveyt Turk (éves)'!B9</f>
        <v>3022870</v>
      </c>
      <c r="D4" s="10">
        <f>'Kuveyt Turk (éves)'!C9</f>
        <v>3402490</v>
      </c>
      <c r="E4" s="10">
        <f>'Kuveyt Turk (éves)'!D9</f>
        <v>3912064</v>
      </c>
      <c r="F4" s="10">
        <f>'Kuveyt Turk (éves)'!E9</f>
        <v>4591151</v>
      </c>
      <c r="G4" s="10">
        <f>'Kuveyt Turk (éves)'!F9</f>
        <v>5438553</v>
      </c>
      <c r="H4" s="10">
        <f>'Kuveyt Turk (éves)'!G9</f>
        <v>6821290</v>
      </c>
      <c r="I4" s="10">
        <f>'Kuveyt Turk (éves)'!H9</f>
        <v>7995097</v>
      </c>
      <c r="J4" s="69">
        <f>'Kuveyt Turk (éves)'!I9</f>
        <v>10456853</v>
      </c>
    </row>
    <row r="5" spans="2:10">
      <c r="B5" s="238" t="s">
        <v>212</v>
      </c>
      <c r="C5" s="10">
        <f>'Turkiye Finans (éves)'!B9</f>
        <v>3153847</v>
      </c>
      <c r="D5" s="10">
        <f>'Turkiye Finans (éves)'!C9</f>
        <v>3356757</v>
      </c>
      <c r="E5" s="10">
        <f>'Turkiye Finans (éves)'!D9</f>
        <v>3663014</v>
      </c>
      <c r="F5" s="10">
        <f>'Turkiye Finans (éves)'!E9</f>
        <v>4060598</v>
      </c>
      <c r="G5" s="10">
        <f>'Turkiye Finans (éves)'!F9</f>
        <v>4323181</v>
      </c>
      <c r="H5" s="10">
        <f>'Turkiye Finans (éves)'!G9</f>
        <v>4827079</v>
      </c>
      <c r="I5" s="10">
        <f>'Turkiye Finans (éves)'!H9</f>
        <v>5495302</v>
      </c>
      <c r="J5" s="69">
        <f>'Turkiye Finans (éves)'!I9</f>
        <v>6556794</v>
      </c>
    </row>
    <row r="6" spans="2:10">
      <c r="B6" s="238" t="s">
        <v>213</v>
      </c>
      <c r="C6" s="76" t="str">
        <f>'Ziraat Katilim (éves)'!B9</f>
        <v>-</v>
      </c>
      <c r="D6" s="76">
        <f>'Ziraat Katilim (éves)'!C9</f>
        <v>664530</v>
      </c>
      <c r="E6" s="76">
        <f>'Ziraat Katilim (éves)'!D9</f>
        <v>764621</v>
      </c>
      <c r="F6" s="76">
        <f>'Ziraat Katilim (éves)'!E9</f>
        <v>1403681</v>
      </c>
      <c r="G6" s="76">
        <f>'Ziraat Katilim (éves)'!F9</f>
        <v>2544897</v>
      </c>
      <c r="H6" s="76">
        <f>'Ziraat Katilim (éves)'!G9</f>
        <v>3166828</v>
      </c>
      <c r="I6" s="76">
        <f>'Ziraat Katilim (éves)'!H9</f>
        <v>3734273</v>
      </c>
      <c r="J6" s="174">
        <f>'Ziraat Katilim (éves)'!I9</f>
        <v>4321735</v>
      </c>
    </row>
    <row r="7" spans="2:10">
      <c r="B7" s="238" t="s">
        <v>191</v>
      </c>
      <c r="C7" s="76" t="str">
        <f>'Vakif Katilim (éves)'!B9</f>
        <v>-</v>
      </c>
      <c r="D7" s="76">
        <f>'Vakif Katilim (éves)'!C9</f>
        <v>857671</v>
      </c>
      <c r="E7" s="76">
        <f>'Vakif Katilim (éves)'!D9</f>
        <v>876418</v>
      </c>
      <c r="F7" s="76">
        <f>'Vakif Katilim (éves)'!E9</f>
        <v>1107885</v>
      </c>
      <c r="G7" s="76">
        <f>'Vakif Katilim (éves)'!F9</f>
        <v>1527226</v>
      </c>
      <c r="H7" s="76">
        <f>'Vakif Katilim (éves)'!G9</f>
        <v>1960693</v>
      </c>
      <c r="I7" s="76">
        <f>'Vakif Katilim (éves)'!H9</f>
        <v>4798566</v>
      </c>
      <c r="J7" s="174">
        <f>'Vakif Katilim (éves)'!I9</f>
        <v>8619719</v>
      </c>
    </row>
    <row r="8" spans="2:10">
      <c r="B8" s="238" t="s">
        <v>214</v>
      </c>
      <c r="C8" s="76" t="str">
        <f>'Emlak Katilim (éves)'!B9</f>
        <v>-</v>
      </c>
      <c r="D8" s="76" t="str">
        <f>'Emlak Katilim (éves)'!C9</f>
        <v>-</v>
      </c>
      <c r="E8" s="76" t="str">
        <f>'Emlak Katilim (éves)'!D9</f>
        <v>-</v>
      </c>
      <c r="F8" s="76" t="str">
        <f>'Emlak Katilim (éves)'!E9</f>
        <v>-</v>
      </c>
      <c r="G8" s="76">
        <f>'Emlak Katilim (éves)'!F9</f>
        <v>1101106</v>
      </c>
      <c r="H8" s="76">
        <f>'Emlak Katilim (éves)'!G9</f>
        <v>1169173</v>
      </c>
      <c r="I8" s="76">
        <f>'Emlak Katilim (éves)'!H9</f>
        <v>1539266</v>
      </c>
      <c r="J8" s="174">
        <f>'Emlak Katilim (éves)'!I9</f>
        <v>1728423</v>
      </c>
    </row>
    <row r="9" spans="2:10" ht="28.2" thickBot="1">
      <c r="B9" s="242" t="s">
        <v>169</v>
      </c>
      <c r="C9" s="244">
        <v>222331543</v>
      </c>
      <c r="D9" s="244">
        <v>251613646</v>
      </c>
      <c r="E9" s="244">
        <v>288788997.99742717</v>
      </c>
      <c r="F9" s="244">
        <v>345030883</v>
      </c>
      <c r="G9" s="244">
        <v>405257916</v>
      </c>
      <c r="H9" s="244">
        <v>470409822</v>
      </c>
      <c r="I9" s="244">
        <v>571983642</v>
      </c>
      <c r="J9" s="245">
        <v>677635517</v>
      </c>
    </row>
    <row r="10" spans="2:10" ht="14.4" thickBot="1"/>
    <row r="11" spans="2:10" ht="14.4" thickBot="1">
      <c r="B11" s="350" t="s">
        <v>171</v>
      </c>
      <c r="C11" s="351"/>
      <c r="D11" s="351"/>
      <c r="E11" s="351"/>
      <c r="F11" s="351"/>
      <c r="G11" s="351"/>
      <c r="H11" s="351"/>
      <c r="I11" s="352" t="s">
        <v>127</v>
      </c>
      <c r="J11" s="353"/>
    </row>
    <row r="12" spans="2:10">
      <c r="B12" s="236"/>
      <c r="C12" s="182">
        <v>2014</v>
      </c>
      <c r="D12" s="182">
        <v>2015</v>
      </c>
      <c r="E12" s="182">
        <v>2016</v>
      </c>
      <c r="F12" s="182">
        <v>2017</v>
      </c>
      <c r="G12" s="182">
        <v>2018</v>
      </c>
      <c r="H12" s="182">
        <v>2019</v>
      </c>
      <c r="I12" s="182">
        <v>2020</v>
      </c>
      <c r="J12" s="237">
        <v>2021</v>
      </c>
    </row>
    <row r="13" spans="2:10">
      <c r="B13" s="238" t="s">
        <v>210</v>
      </c>
      <c r="C13" s="10">
        <f>'Albaraka Turk (éves)'!B7</f>
        <v>15474046</v>
      </c>
      <c r="D13" s="10">
        <f>'Albaraka Turk (éves)'!C7</f>
        <v>18557965</v>
      </c>
      <c r="E13" s="10">
        <f>'Albaraka Turk (éves)'!D7</f>
        <v>21843075</v>
      </c>
      <c r="F13" s="10">
        <f>'Albaraka Turk (éves)'!E7</f>
        <v>24456382</v>
      </c>
      <c r="G13" s="10">
        <f>'Albaraka Turk (éves)'!F7</f>
        <v>27062226</v>
      </c>
      <c r="H13" s="10">
        <f>'Albaraka Turk (éves)'!G7</f>
        <v>30637243</v>
      </c>
      <c r="I13" s="10">
        <f>'Albaraka Turk (éves)'!H7</f>
        <v>42055806</v>
      </c>
      <c r="J13" s="239">
        <f>'Albaraka Turk (éves)'!I7</f>
        <v>59304778</v>
      </c>
    </row>
    <row r="14" spans="2:10">
      <c r="B14" s="238" t="s">
        <v>211</v>
      </c>
      <c r="C14" s="10">
        <f>'Kuveyt Turk (éves)'!B7</f>
        <v>20575082</v>
      </c>
      <c r="D14" s="10">
        <f>'Kuveyt Turk (éves)'!C7</f>
        <v>25851000</v>
      </c>
      <c r="E14" s="10">
        <f>'Kuveyt Turk (éves)'!D7</f>
        <v>28250102</v>
      </c>
      <c r="F14" s="10">
        <f>'Kuveyt Turk (éves)'!E7</f>
        <v>35994116</v>
      </c>
      <c r="G14" s="10">
        <f>'Kuveyt Turk (éves)'!F7</f>
        <v>45348335</v>
      </c>
      <c r="H14" s="10">
        <f>'Kuveyt Turk (éves)'!G7</f>
        <v>55218449</v>
      </c>
      <c r="I14" s="10">
        <f>'Kuveyt Turk (éves)'!H7</f>
        <v>74043052</v>
      </c>
      <c r="J14" s="239">
        <f>'Kuveyt Turk (éves)'!I7</f>
        <v>111440591</v>
      </c>
    </row>
    <row r="15" spans="2:10">
      <c r="B15" s="238" t="s">
        <v>212</v>
      </c>
      <c r="C15" s="10">
        <f>'Turkiye Finans (éves)'!B7</f>
        <v>23056422</v>
      </c>
      <c r="D15" s="10">
        <f>'Turkiye Finans (éves)'!C7</f>
        <v>27014513</v>
      </c>
      <c r="E15" s="10">
        <f>'Turkiye Finans (éves)'!D7</f>
        <v>25599230</v>
      </c>
      <c r="F15" s="10">
        <f>'Turkiye Finans (éves)'!E7</f>
        <v>25337819</v>
      </c>
      <c r="G15" s="10">
        <f>'Turkiye Finans (éves)'!F7</f>
        <v>30481546</v>
      </c>
      <c r="H15" s="10">
        <f>'Turkiye Finans (éves)'!G7</f>
        <v>32582167</v>
      </c>
      <c r="I15" s="10">
        <f>'Turkiye Finans (éves)'!H7</f>
        <v>47032268</v>
      </c>
      <c r="J15" s="239">
        <f>'Turkiye Finans (éves)'!I7</f>
        <v>60187817</v>
      </c>
    </row>
    <row r="16" spans="2:10">
      <c r="B16" s="238" t="s">
        <v>213</v>
      </c>
      <c r="C16" s="76" t="str">
        <f>'Ziraat Katilim (éves)'!B7</f>
        <v>-</v>
      </c>
      <c r="D16" s="76">
        <f>'Ziraat Katilim (éves)'!C7</f>
        <v>1690106</v>
      </c>
      <c r="E16" s="76">
        <f>'Ziraat Katilim (éves)'!D7</f>
        <v>5557942</v>
      </c>
      <c r="F16" s="76">
        <f>'Ziraat Katilim (éves)'!E7</f>
        <v>11374744</v>
      </c>
      <c r="G16" s="76">
        <f>'Ziraat Katilim (éves)'!F7</f>
        <v>17243990</v>
      </c>
      <c r="H16" s="76">
        <f>'Ziraat Katilim (éves)'!G7</f>
        <v>25908664</v>
      </c>
      <c r="I16" s="76">
        <f>'Ziraat Katilim (éves)'!H7</f>
        <v>38223417</v>
      </c>
      <c r="J16" s="240">
        <f>'Ziraat Katilim (éves)'!I7</f>
        <v>58588552</v>
      </c>
    </row>
    <row r="17" spans="2:10">
      <c r="B17" s="238" t="s">
        <v>191</v>
      </c>
      <c r="C17" s="76" t="str">
        <f>'Vakif Katilim (éves)'!B7</f>
        <v>-</v>
      </c>
      <c r="D17" s="76" t="str">
        <f>'Vakif Katilim (éves)'!C7</f>
        <v>-</v>
      </c>
      <c r="E17" s="76">
        <f>'Vakif Katilim (éves)'!D7</f>
        <v>2946447</v>
      </c>
      <c r="F17" s="76">
        <f>'Vakif Katilim (éves)'!E7</f>
        <v>9585506</v>
      </c>
      <c r="G17" s="76">
        <f>'Vakif Katilim (éves)'!F7</f>
        <v>13567228</v>
      </c>
      <c r="H17" s="76">
        <f>'Vakif Katilim (éves)'!G7</f>
        <v>18588745</v>
      </c>
      <c r="I17" s="76">
        <f>'Vakif Katilim (éves)'!H7</f>
        <v>29107607</v>
      </c>
      <c r="J17" s="240">
        <f>'Vakif Katilim (éves)'!I7</f>
        <v>56087057</v>
      </c>
    </row>
    <row r="18" spans="2:10">
      <c r="B18" s="238" t="s">
        <v>214</v>
      </c>
      <c r="C18" s="76" t="str">
        <f>'Emlak Katilim (éves)'!B7</f>
        <v>-</v>
      </c>
      <c r="D18" s="76" t="str">
        <f>'Emlak Katilim (éves)'!C7</f>
        <v>-</v>
      </c>
      <c r="E18" s="76" t="str">
        <f>'Emlak Katilim (éves)'!D7</f>
        <v>-</v>
      </c>
      <c r="F18" s="76" t="str">
        <f>'Emlak Katilim (éves)'!E7</f>
        <v>-</v>
      </c>
      <c r="G18" s="76" t="str">
        <f>'Emlak Katilim (éves)'!F7</f>
        <v>-</v>
      </c>
      <c r="H18" s="76">
        <f>'Emlak Katilim (éves)'!G7</f>
        <v>5730333</v>
      </c>
      <c r="I18" s="76">
        <f>'Emlak Katilim (éves)'!H7</f>
        <v>13570624</v>
      </c>
      <c r="J18" s="240">
        <f>'Emlak Katilim (éves)'!I7</f>
        <v>21724480</v>
      </c>
    </row>
    <row r="19" spans="2:10" ht="28.2" thickBot="1">
      <c r="B19" s="243" t="s">
        <v>169</v>
      </c>
      <c r="C19" s="250">
        <v>1209686009</v>
      </c>
      <c r="D19" s="250">
        <v>1458516465.5601699</v>
      </c>
      <c r="E19" s="250">
        <v>1716622954</v>
      </c>
      <c r="F19" s="250">
        <v>2071375707</v>
      </c>
      <c r="G19" s="250">
        <v>2366972400</v>
      </c>
      <c r="H19" s="250">
        <v>2752464808</v>
      </c>
      <c r="I19" s="250">
        <v>3608752002</v>
      </c>
      <c r="J19" s="251">
        <v>4882783411</v>
      </c>
    </row>
    <row r="20" spans="2:10" ht="14.4" thickBot="1"/>
    <row r="21" spans="2:10" ht="14.4" thickBot="1">
      <c r="B21" s="350" t="s">
        <v>170</v>
      </c>
      <c r="C21" s="351"/>
      <c r="D21" s="351"/>
      <c r="E21" s="351"/>
      <c r="F21" s="351"/>
      <c r="G21" s="351"/>
      <c r="H21" s="351"/>
      <c r="I21" s="352" t="s">
        <v>127</v>
      </c>
      <c r="J21" s="353"/>
    </row>
    <row r="22" spans="2:10">
      <c r="B22" s="236"/>
      <c r="C22" s="182">
        <v>2014</v>
      </c>
      <c r="D22" s="182">
        <v>2015</v>
      </c>
      <c r="E22" s="182">
        <v>2016</v>
      </c>
      <c r="F22" s="182">
        <v>2017</v>
      </c>
      <c r="G22" s="182">
        <v>2018</v>
      </c>
      <c r="H22" s="182">
        <v>2019</v>
      </c>
      <c r="I22" s="182">
        <v>2020</v>
      </c>
      <c r="J22" s="237">
        <v>2021</v>
      </c>
    </row>
    <row r="23" spans="2:10">
      <c r="B23" s="238" t="s">
        <v>210</v>
      </c>
      <c r="C23" s="10">
        <v>23046424</v>
      </c>
      <c r="D23" s="10">
        <v>29561999</v>
      </c>
      <c r="E23" s="10">
        <v>32850738</v>
      </c>
      <c r="F23" s="10">
        <v>36229077</v>
      </c>
      <c r="G23" s="10">
        <v>42223652</v>
      </c>
      <c r="H23" s="10">
        <v>51392368</v>
      </c>
      <c r="I23" s="10">
        <v>69315799</v>
      </c>
      <c r="J23" s="239">
        <v>108955123</v>
      </c>
    </row>
    <row r="24" spans="2:10">
      <c r="B24" s="238" t="s">
        <v>211</v>
      </c>
      <c r="C24" s="10">
        <v>33543583</v>
      </c>
      <c r="D24" s="10">
        <v>42052507</v>
      </c>
      <c r="E24" s="10">
        <v>48476955</v>
      </c>
      <c r="F24" s="10">
        <v>57123095</v>
      </c>
      <c r="G24" s="10">
        <v>74232325</v>
      </c>
      <c r="H24" s="10">
        <v>104439345</v>
      </c>
      <c r="I24" s="10">
        <v>152290315</v>
      </c>
      <c r="J24" s="239">
        <v>254068260</v>
      </c>
    </row>
    <row r="25" spans="2:10">
      <c r="B25" s="238" t="s">
        <v>212</v>
      </c>
      <c r="C25" s="10">
        <v>33494790</v>
      </c>
      <c r="D25" s="10">
        <v>38576299</v>
      </c>
      <c r="E25" s="10">
        <v>38807717</v>
      </c>
      <c r="F25" s="10">
        <v>39080897</v>
      </c>
      <c r="G25" s="10">
        <v>47052484</v>
      </c>
      <c r="H25" s="10">
        <v>52427410</v>
      </c>
      <c r="I25" s="10">
        <v>81370822</v>
      </c>
      <c r="J25" s="239">
        <v>115643263</v>
      </c>
    </row>
    <row r="26" spans="2:10">
      <c r="B26" s="238" t="s">
        <v>213</v>
      </c>
      <c r="C26" s="76" t="s">
        <v>1</v>
      </c>
      <c r="D26" s="76">
        <v>2177435</v>
      </c>
      <c r="E26" s="76">
        <v>7959507</v>
      </c>
      <c r="F26" s="76">
        <v>14350143</v>
      </c>
      <c r="G26" s="76">
        <v>25477356</v>
      </c>
      <c r="H26" s="76">
        <v>36392174</v>
      </c>
      <c r="I26" s="76">
        <v>60186996</v>
      </c>
      <c r="J26" s="240">
        <v>98312592</v>
      </c>
    </row>
    <row r="27" spans="2:10">
      <c r="B27" s="238" t="s">
        <v>191</v>
      </c>
      <c r="C27" s="76" t="s">
        <v>1</v>
      </c>
      <c r="D27" s="76">
        <v>862030</v>
      </c>
      <c r="E27" s="76">
        <v>4681933</v>
      </c>
      <c r="F27" s="76">
        <v>13210145</v>
      </c>
      <c r="G27" s="76">
        <v>20955512</v>
      </c>
      <c r="H27" s="76">
        <v>30348784</v>
      </c>
      <c r="I27" s="76">
        <v>53157628</v>
      </c>
      <c r="J27" s="240">
        <v>100757086</v>
      </c>
    </row>
    <row r="28" spans="2:10">
      <c r="B28" s="238" t="s">
        <v>214</v>
      </c>
      <c r="C28" s="76" t="s">
        <v>1</v>
      </c>
      <c r="D28" s="76" t="s">
        <v>1</v>
      </c>
      <c r="E28" s="76" t="s">
        <v>1</v>
      </c>
      <c r="F28" s="76" t="s">
        <v>1</v>
      </c>
      <c r="G28" s="76">
        <v>1138798</v>
      </c>
      <c r="H28" s="76">
        <v>9282271</v>
      </c>
      <c r="I28" s="76">
        <v>20390177</v>
      </c>
      <c r="J28" s="240">
        <v>38759900</v>
      </c>
    </row>
    <row r="29" spans="2:10" ht="28.2" thickBot="1">
      <c r="B29" s="243" t="s">
        <v>169</v>
      </c>
      <c r="C29" s="250">
        <v>1888308478</v>
      </c>
      <c r="D29" s="250">
        <v>2235994713.5601697</v>
      </c>
      <c r="E29" s="250">
        <v>2595347984</v>
      </c>
      <c r="F29" s="250">
        <v>3095039170</v>
      </c>
      <c r="G29" s="250">
        <v>3656359182</v>
      </c>
      <c r="H29" s="250">
        <v>4201885172</v>
      </c>
      <c r="I29" s="250">
        <v>5663536186</v>
      </c>
      <c r="J29" s="251">
        <v>8489361144</v>
      </c>
    </row>
    <row r="30" spans="2:10" ht="14.4" thickBot="1"/>
    <row r="31" spans="2:10" ht="14.4" thickBot="1">
      <c r="B31" s="350" t="s">
        <v>109</v>
      </c>
      <c r="C31" s="351"/>
      <c r="D31" s="351"/>
      <c r="E31" s="351"/>
      <c r="F31" s="351"/>
      <c r="G31" s="351"/>
      <c r="H31" s="351"/>
      <c r="I31" s="352" t="s">
        <v>127</v>
      </c>
      <c r="J31" s="353"/>
    </row>
    <row r="32" spans="2:10">
      <c r="B32" s="236"/>
      <c r="C32" s="182">
        <v>2014</v>
      </c>
      <c r="D32" s="182">
        <v>2015</v>
      </c>
      <c r="E32" s="182">
        <v>2016</v>
      </c>
      <c r="F32" s="182">
        <v>2017</v>
      </c>
      <c r="G32" s="182">
        <v>2018</v>
      </c>
      <c r="H32" s="182">
        <v>2019</v>
      </c>
      <c r="I32" s="182">
        <v>2020</v>
      </c>
      <c r="J32" s="237">
        <v>2021</v>
      </c>
    </row>
    <row r="33" spans="2:31">
      <c r="B33" s="238" t="s">
        <v>210</v>
      </c>
      <c r="C33" s="10">
        <v>326975</v>
      </c>
      <c r="D33" s="10">
        <v>468413</v>
      </c>
      <c r="E33" s="10">
        <v>1105954</v>
      </c>
      <c r="F33" s="10">
        <v>1212610</v>
      </c>
      <c r="G33" s="10">
        <v>1888547</v>
      </c>
      <c r="H33" s="10">
        <v>2221723</v>
      </c>
      <c r="I33" s="10">
        <v>2045276</v>
      </c>
      <c r="J33" s="239">
        <v>3783237</v>
      </c>
    </row>
    <row r="34" spans="2:31">
      <c r="B34" s="238" t="s">
        <v>211</v>
      </c>
      <c r="C34" s="10">
        <v>481195</v>
      </c>
      <c r="D34" s="10">
        <v>442519</v>
      </c>
      <c r="E34" s="10">
        <v>748062</v>
      </c>
      <c r="F34" s="10">
        <v>717130</v>
      </c>
      <c r="G34" s="10">
        <v>1179767</v>
      </c>
      <c r="H34" s="10">
        <v>2043674</v>
      </c>
      <c r="I34" s="10">
        <v>2934591</v>
      </c>
      <c r="J34" s="239">
        <v>3075409</v>
      </c>
    </row>
    <row r="35" spans="2:31">
      <c r="B35" s="238" t="s">
        <v>212</v>
      </c>
      <c r="C35" s="10">
        <v>597317</v>
      </c>
      <c r="D35" s="10">
        <v>1250842</v>
      </c>
      <c r="E35" s="10">
        <v>1394324</v>
      </c>
      <c r="F35" s="10">
        <v>1414992</v>
      </c>
      <c r="G35" s="10">
        <v>1732682</v>
      </c>
      <c r="H35" s="10">
        <v>2666352</v>
      </c>
      <c r="I35" s="10">
        <v>2652383</v>
      </c>
      <c r="J35" s="239">
        <v>2818159</v>
      </c>
    </row>
    <row r="36" spans="2:31">
      <c r="B36" s="238" t="s">
        <v>213</v>
      </c>
      <c r="C36" s="76" t="s">
        <v>1</v>
      </c>
      <c r="D36" s="76">
        <v>2</v>
      </c>
      <c r="E36" s="76">
        <v>10483</v>
      </c>
      <c r="F36" s="76">
        <v>34841</v>
      </c>
      <c r="G36" s="76">
        <v>240160</v>
      </c>
      <c r="H36" s="76">
        <v>675282</v>
      </c>
      <c r="I36" s="76">
        <v>1181058</v>
      </c>
      <c r="J36" s="240">
        <v>1698976</v>
      </c>
    </row>
    <row r="37" spans="2:31">
      <c r="B37" s="238" t="s">
        <v>191</v>
      </c>
      <c r="C37" s="76" t="s">
        <v>1</v>
      </c>
      <c r="D37" s="76" t="s">
        <v>1</v>
      </c>
      <c r="E37" s="76">
        <v>3647</v>
      </c>
      <c r="F37" s="76">
        <v>15438</v>
      </c>
      <c r="G37" s="76">
        <v>245988</v>
      </c>
      <c r="H37" s="76">
        <v>571074</v>
      </c>
      <c r="I37" s="76">
        <v>714652</v>
      </c>
      <c r="J37" s="240">
        <v>928006</v>
      </c>
    </row>
    <row r="38" spans="2:31">
      <c r="B38" s="238" t="s">
        <v>214</v>
      </c>
      <c r="C38" s="76" t="s">
        <v>1</v>
      </c>
      <c r="D38" s="76" t="s">
        <v>1</v>
      </c>
      <c r="E38" s="76" t="s">
        <v>1</v>
      </c>
      <c r="F38" s="76" t="s">
        <v>1</v>
      </c>
      <c r="G38" s="76">
        <v>188343</v>
      </c>
      <c r="H38" s="76">
        <v>188322</v>
      </c>
      <c r="I38" s="76">
        <v>172697</v>
      </c>
      <c r="J38" s="240">
        <v>195529</v>
      </c>
    </row>
    <row r="39" spans="2:31" ht="28.2" thickBot="1">
      <c r="B39" s="243" t="s">
        <v>169</v>
      </c>
      <c r="C39" s="252" t="s">
        <v>1</v>
      </c>
      <c r="D39" s="252" t="s">
        <v>1</v>
      </c>
      <c r="E39" s="252" t="s">
        <v>1</v>
      </c>
      <c r="F39" s="252" t="s">
        <v>1</v>
      </c>
      <c r="G39" s="252" t="s">
        <v>1</v>
      </c>
      <c r="H39" s="252" t="s">
        <v>1</v>
      </c>
      <c r="I39" s="252" t="s">
        <v>1</v>
      </c>
      <c r="J39" s="253" t="s">
        <v>1</v>
      </c>
    </row>
    <row r="40" spans="2:31" s="16" customFormat="1">
      <c r="B40" s="180"/>
      <c r="C40" s="180"/>
      <c r="D40" s="180"/>
      <c r="E40" s="180"/>
      <c r="F40" s="180"/>
      <c r="G40" s="180"/>
      <c r="H40" s="180"/>
      <c r="I40" s="181"/>
      <c r="J40" s="181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9"/>
      <c r="AE40" s="179"/>
    </row>
    <row r="41" spans="2:31">
      <c r="B41" s="318" t="s">
        <v>197</v>
      </c>
      <c r="C41" s="318"/>
      <c r="D41" s="318"/>
      <c r="E41" s="318"/>
      <c r="F41" s="320"/>
      <c r="G41" s="241"/>
      <c r="H41" s="241"/>
    </row>
    <row r="42" spans="2:31" ht="14.4" customHeight="1" thickBot="1">
      <c r="B42"/>
      <c r="C42"/>
      <c r="D42"/>
      <c r="E42"/>
      <c r="F42"/>
      <c r="G42"/>
      <c r="H42"/>
      <c r="I42" s="347" t="s">
        <v>128</v>
      </c>
      <c r="J42" s="347" t="s">
        <v>128</v>
      </c>
      <c r="K42" s="347"/>
      <c r="L42"/>
    </row>
    <row r="43" spans="2:31">
      <c r="B43" s="209"/>
      <c r="C43" s="210">
        <v>2014</v>
      </c>
      <c r="D43" s="210">
        <v>2015</v>
      </c>
      <c r="E43" s="210">
        <v>2016</v>
      </c>
      <c r="F43" s="210">
        <v>2017</v>
      </c>
      <c r="G43" s="210">
        <v>2018</v>
      </c>
      <c r="H43" s="210">
        <v>2019</v>
      </c>
      <c r="I43" s="210">
        <v>2020</v>
      </c>
      <c r="J43" s="216">
        <v>2021</v>
      </c>
      <c r="K43" s="217" t="s">
        <v>124</v>
      </c>
      <c r="L43" s="217" t="s">
        <v>125</v>
      </c>
    </row>
    <row r="44" spans="2:31" ht="14.4">
      <c r="B44" s="200" t="s">
        <v>187</v>
      </c>
      <c r="C44" s="218">
        <f t="shared" ref="C44:J46" si="0">C33/C13</f>
        <v>2.1130543362737838E-2</v>
      </c>
      <c r="D44" s="218">
        <f t="shared" si="0"/>
        <v>2.5240536879986571E-2</v>
      </c>
      <c r="E44" s="218">
        <f t="shared" si="0"/>
        <v>5.0631790624717447E-2</v>
      </c>
      <c r="F44" s="218">
        <f t="shared" si="0"/>
        <v>4.9582558859278529E-2</v>
      </c>
      <c r="G44" s="218">
        <f t="shared" si="0"/>
        <v>6.9785353207825557E-2</v>
      </c>
      <c r="H44" s="218">
        <f t="shared" si="0"/>
        <v>7.2517066891430143E-2</v>
      </c>
      <c r="I44" s="218">
        <f t="shared" si="0"/>
        <v>4.8632429015865251E-2</v>
      </c>
      <c r="J44" s="219">
        <f t="shared" si="0"/>
        <v>6.3793123043138278E-2</v>
      </c>
      <c r="K44" s="220">
        <f>AVERAGE(C44:J44)</f>
        <v>5.016417523562245E-2</v>
      </c>
      <c r="L44" s="221">
        <v>3</v>
      </c>
    </row>
    <row r="45" spans="2:31" ht="14.4">
      <c r="B45" s="200" t="s">
        <v>188</v>
      </c>
      <c r="C45" s="218">
        <f t="shared" si="0"/>
        <v>2.338727009690654E-2</v>
      </c>
      <c r="D45" s="218">
        <f t="shared" si="0"/>
        <v>1.7118061196858922E-2</v>
      </c>
      <c r="E45" s="218">
        <f t="shared" si="0"/>
        <v>2.6479975187346225E-2</v>
      </c>
      <c r="F45" s="218">
        <f t="shared" si="0"/>
        <v>1.992353416875136E-2</v>
      </c>
      <c r="G45" s="218">
        <f t="shared" si="0"/>
        <v>2.6015662978585652E-2</v>
      </c>
      <c r="H45" s="218">
        <f t="shared" si="0"/>
        <v>3.7010709953117296E-2</v>
      </c>
      <c r="I45" s="218">
        <f t="shared" si="0"/>
        <v>3.9633576962764851E-2</v>
      </c>
      <c r="J45" s="219">
        <f t="shared" si="0"/>
        <v>2.7596847543638746E-2</v>
      </c>
      <c r="K45" s="220">
        <f t="shared" ref="K45:K50" si="1">AVERAGE(C45:J45)</f>
        <v>2.7145704760996196E-2</v>
      </c>
      <c r="L45" s="221">
        <v>1</v>
      </c>
    </row>
    <row r="46" spans="2:31" ht="14.4">
      <c r="B46" s="200" t="s">
        <v>189</v>
      </c>
      <c r="C46" s="218">
        <f t="shared" si="0"/>
        <v>2.5906751706747909E-2</v>
      </c>
      <c r="D46" s="218">
        <f t="shared" si="0"/>
        <v>4.6302592980299144E-2</v>
      </c>
      <c r="E46" s="218">
        <f t="shared" si="0"/>
        <v>5.4467419527852987E-2</v>
      </c>
      <c r="F46" s="218">
        <f t="shared" si="0"/>
        <v>5.5845059118939951E-2</v>
      </c>
      <c r="G46" s="218">
        <f t="shared" si="0"/>
        <v>5.684363909888298E-2</v>
      </c>
      <c r="H46" s="218">
        <f t="shared" si="0"/>
        <v>8.183470424174058E-2</v>
      </c>
      <c r="I46" s="218">
        <f t="shared" si="0"/>
        <v>5.6394962709431749E-2</v>
      </c>
      <c r="J46" s="219">
        <f t="shared" si="0"/>
        <v>4.6822748198360478E-2</v>
      </c>
      <c r="K46" s="220">
        <f t="shared" si="1"/>
        <v>5.3052234697781968E-2</v>
      </c>
      <c r="L46" s="221">
        <v>3</v>
      </c>
    </row>
    <row r="47" spans="2:31" ht="14.4">
      <c r="B47" s="200" t="s">
        <v>190</v>
      </c>
      <c r="C47" s="218"/>
      <c r="D47" s="305"/>
      <c r="E47" s="305">
        <f t="shared" ref="E47:J47" si="2">E36/E16</f>
        <v>1.8861297940856525E-3</v>
      </c>
      <c r="F47" s="305">
        <f t="shared" si="2"/>
        <v>3.0630139895895677E-3</v>
      </c>
      <c r="G47" s="305">
        <f t="shared" si="2"/>
        <v>1.3927171147744808E-2</v>
      </c>
      <c r="H47" s="305">
        <f t="shared" si="2"/>
        <v>2.6063945250129453E-2</v>
      </c>
      <c r="I47" s="218">
        <f t="shared" si="2"/>
        <v>3.0898807398616404E-2</v>
      </c>
      <c r="J47" s="219">
        <f t="shared" si="2"/>
        <v>2.8998429590818355E-2</v>
      </c>
      <c r="K47" s="220">
        <f t="shared" si="1"/>
        <v>1.7472916195164039E-2</v>
      </c>
      <c r="L47" s="221">
        <v>1</v>
      </c>
    </row>
    <row r="48" spans="2:31" ht="14.4">
      <c r="B48" s="200" t="s">
        <v>191</v>
      </c>
      <c r="C48" s="218"/>
      <c r="D48" s="305"/>
      <c r="E48" s="305"/>
      <c r="F48" s="305">
        <f t="shared" ref="F48:J48" si="3">F37/F17</f>
        <v>1.6105566049408346E-3</v>
      </c>
      <c r="G48" s="305">
        <f t="shared" si="3"/>
        <v>1.813104342316647E-2</v>
      </c>
      <c r="H48" s="305">
        <f t="shared" si="3"/>
        <v>3.0721493032477447E-2</v>
      </c>
      <c r="I48" s="218">
        <f t="shared" si="3"/>
        <v>2.4552069842086296E-2</v>
      </c>
      <c r="J48" s="219">
        <f t="shared" si="3"/>
        <v>1.6545813769476263E-2</v>
      </c>
      <c r="K48" s="220">
        <f t="shared" si="1"/>
        <v>1.8312195334429463E-2</v>
      </c>
      <c r="L48" s="221">
        <v>1</v>
      </c>
    </row>
    <row r="49" spans="2:31" ht="15" thickBot="1">
      <c r="B49" s="222" t="s">
        <v>192</v>
      </c>
      <c r="C49" s="223"/>
      <c r="D49" s="306"/>
      <c r="E49" s="306"/>
      <c r="F49" s="306"/>
      <c r="G49" s="306"/>
      <c r="H49" s="306"/>
      <c r="I49" s="223">
        <f>I38/I18</f>
        <v>1.2725796544064591E-2</v>
      </c>
      <c r="J49" s="224">
        <f>J38/J18</f>
        <v>9.0003995492642409E-3</v>
      </c>
      <c r="K49" s="225">
        <f t="shared" si="1"/>
        <v>1.0863098046664417E-2</v>
      </c>
      <c r="L49" s="226">
        <v>1</v>
      </c>
    </row>
    <row r="50" spans="2:31" ht="26.4">
      <c r="B50" s="229" t="s">
        <v>169</v>
      </c>
      <c r="C50" s="230">
        <v>2.7400000000000001E-2</v>
      </c>
      <c r="D50" s="230">
        <v>2.9899999999999999E-2</v>
      </c>
      <c r="E50" s="230">
        <v>3.1099999999999999E-2</v>
      </c>
      <c r="F50" s="230">
        <v>2.8400000000000002E-2</v>
      </c>
      <c r="G50" s="230">
        <v>3.6900000000000002E-2</v>
      </c>
      <c r="H50" s="230">
        <v>5.0200000000000002E-2</v>
      </c>
      <c r="I50" s="230">
        <v>3.8899999999999997E-2</v>
      </c>
      <c r="J50" s="230">
        <v>2.98E-2</v>
      </c>
      <c r="K50" s="230">
        <f t="shared" si="1"/>
        <v>3.4075000000000001E-2</v>
      </c>
      <c r="L50" s="233"/>
    </row>
    <row r="51" spans="2:31">
      <c r="B51" s="176"/>
      <c r="C51" s="176"/>
      <c r="D51" s="176"/>
      <c r="E51" s="176"/>
      <c r="F51" s="176"/>
      <c r="G51" s="176"/>
      <c r="H51" s="176"/>
      <c r="I51" s="75"/>
      <c r="J51" s="75"/>
    </row>
    <row r="52" spans="2:31">
      <c r="B52" s="180"/>
      <c r="C52" s="180"/>
      <c r="D52" s="180"/>
      <c r="E52" s="180"/>
      <c r="F52" s="180"/>
      <c r="G52" s="180"/>
      <c r="H52" s="180"/>
      <c r="I52" s="181"/>
      <c r="J52" s="181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  <c r="AE52" s="179"/>
    </row>
    <row r="53" spans="2:31">
      <c r="B53" s="318" t="s">
        <v>198</v>
      </c>
      <c r="C53" s="318"/>
      <c r="D53" s="318"/>
      <c r="E53" s="318"/>
      <c r="F53" s="320"/>
      <c r="G53" s="320"/>
      <c r="H53" s="320"/>
      <c r="I53" s="319"/>
    </row>
    <row r="54" spans="2:31" ht="14.4" customHeight="1" thickBot="1">
      <c r="B54"/>
      <c r="C54"/>
      <c r="D54"/>
      <c r="E54"/>
      <c r="F54"/>
      <c r="G54"/>
      <c r="H54"/>
      <c r="I54" s="347" t="s">
        <v>128</v>
      </c>
      <c r="J54" s="347" t="s">
        <v>128</v>
      </c>
      <c r="K54" s="347"/>
      <c r="L54"/>
    </row>
    <row r="55" spans="2:31">
      <c r="B55" s="209"/>
      <c r="C55" s="210">
        <v>2014</v>
      </c>
      <c r="D55" s="210">
        <v>2015</v>
      </c>
      <c r="E55" s="210">
        <v>2016</v>
      </c>
      <c r="F55" s="210">
        <v>2017</v>
      </c>
      <c r="G55" s="210">
        <v>2018</v>
      </c>
      <c r="H55" s="210">
        <v>2019</v>
      </c>
      <c r="I55" s="210">
        <v>2020</v>
      </c>
      <c r="J55" s="216">
        <v>2021</v>
      </c>
      <c r="K55" s="217" t="s">
        <v>124</v>
      </c>
      <c r="L55" s="217" t="s">
        <v>125</v>
      </c>
    </row>
    <row r="56" spans="2:31" ht="14.4">
      <c r="B56" s="200" t="s">
        <v>187</v>
      </c>
      <c r="C56" s="218">
        <f t="shared" ref="C56:J58" si="4">C13/C23</f>
        <v>0.67142937229654376</v>
      </c>
      <c r="D56" s="218">
        <f t="shared" si="4"/>
        <v>0.62776421175036234</v>
      </c>
      <c r="E56" s="218">
        <f t="shared" si="4"/>
        <v>0.66491885205136025</v>
      </c>
      <c r="F56" s="218">
        <f t="shared" si="4"/>
        <v>0.67504844244306861</v>
      </c>
      <c r="G56" s="218">
        <f t="shared" si="4"/>
        <v>0.64092575412472608</v>
      </c>
      <c r="H56" s="218">
        <f t="shared" si="4"/>
        <v>0.59614382820421896</v>
      </c>
      <c r="I56" s="218">
        <f t="shared" si="4"/>
        <v>0.60672756581800347</v>
      </c>
      <c r="J56" s="219">
        <f t="shared" si="4"/>
        <v>0.54430463081575342</v>
      </c>
      <c r="K56" s="234">
        <f>AVERAGE(C56:J56)</f>
        <v>0.62840783218800467</v>
      </c>
      <c r="L56" s="221">
        <v>3</v>
      </c>
    </row>
    <row r="57" spans="2:31" ht="14.4">
      <c r="B57" s="200" t="s">
        <v>188</v>
      </c>
      <c r="C57" s="218">
        <f t="shared" si="4"/>
        <v>0.61338354939602013</v>
      </c>
      <c r="D57" s="218">
        <f t="shared" si="4"/>
        <v>0.61473148319076432</v>
      </c>
      <c r="E57" s="218">
        <f t="shared" si="4"/>
        <v>0.58275322779658911</v>
      </c>
      <c r="F57" s="218">
        <f t="shared" si="4"/>
        <v>0.63011494737811391</v>
      </c>
      <c r="G57" s="218">
        <f t="shared" si="4"/>
        <v>0.61089740891181843</v>
      </c>
      <c r="H57" s="218">
        <f t="shared" si="4"/>
        <v>0.52871309179505099</v>
      </c>
      <c r="I57" s="218">
        <f t="shared" si="4"/>
        <v>0.48619672235887096</v>
      </c>
      <c r="J57" s="219">
        <f t="shared" si="4"/>
        <v>0.43862460820568455</v>
      </c>
      <c r="K57" s="234">
        <f t="shared" ref="K57:K62" si="5">AVERAGE(C57:J57)</f>
        <v>0.56317687987911402</v>
      </c>
      <c r="L57" s="221">
        <v>2</v>
      </c>
    </row>
    <row r="58" spans="2:31" ht="14.4">
      <c r="B58" s="200" t="s">
        <v>189</v>
      </c>
      <c r="C58" s="218">
        <f t="shared" si="4"/>
        <v>0.68835845813632512</v>
      </c>
      <c r="D58" s="218">
        <f t="shared" si="4"/>
        <v>0.70028783735837385</v>
      </c>
      <c r="E58" s="218">
        <f t="shared" si="4"/>
        <v>0.65964277156525342</v>
      </c>
      <c r="F58" s="218">
        <f t="shared" si="4"/>
        <v>0.64834282079042349</v>
      </c>
      <c r="G58" s="218">
        <f t="shared" si="4"/>
        <v>0.64782012358794916</v>
      </c>
      <c r="H58" s="218">
        <f t="shared" si="4"/>
        <v>0.62147199337140624</v>
      </c>
      <c r="I58" s="218">
        <f t="shared" si="4"/>
        <v>0.57799917518345822</v>
      </c>
      <c r="J58" s="219">
        <f t="shared" si="4"/>
        <v>0.52046107519467</v>
      </c>
      <c r="K58" s="234">
        <f t="shared" si="5"/>
        <v>0.63304803189848247</v>
      </c>
      <c r="L58" s="221">
        <v>3</v>
      </c>
    </row>
    <row r="59" spans="2:31" ht="14.4">
      <c r="B59" s="200" t="s">
        <v>190</v>
      </c>
      <c r="C59" s="218"/>
      <c r="D59" s="305"/>
      <c r="E59" s="305">
        <f t="shared" ref="E59:J59" si="6">E16/E26</f>
        <v>0.69827716716625787</v>
      </c>
      <c r="F59" s="305">
        <f t="shared" si="6"/>
        <v>0.79265718815484976</v>
      </c>
      <c r="G59" s="305">
        <f t="shared" si="6"/>
        <v>0.67683593226863892</v>
      </c>
      <c r="H59" s="305">
        <f t="shared" si="6"/>
        <v>0.71192954836938294</v>
      </c>
      <c r="I59" s="305">
        <f t="shared" si="6"/>
        <v>0.63507766694320478</v>
      </c>
      <c r="J59" s="219">
        <f t="shared" si="6"/>
        <v>0.59594148428107763</v>
      </c>
      <c r="K59" s="234">
        <f t="shared" si="5"/>
        <v>0.6851198311972353</v>
      </c>
      <c r="L59" s="221">
        <v>3</v>
      </c>
    </row>
    <row r="60" spans="2:31" ht="14.4">
      <c r="B60" s="200" t="s">
        <v>191</v>
      </c>
      <c r="C60" s="218"/>
      <c r="D60" s="305"/>
      <c r="E60" s="305"/>
      <c r="F60" s="305">
        <f t="shared" ref="F60:J60" si="7">F17/F27</f>
        <v>0.72561701631586939</v>
      </c>
      <c r="G60" s="305">
        <f t="shared" si="7"/>
        <v>0.64743004131800741</v>
      </c>
      <c r="H60" s="305">
        <f t="shared" si="7"/>
        <v>0.61250378268862438</v>
      </c>
      <c r="I60" s="305">
        <f t="shared" si="7"/>
        <v>0.54757159217111795</v>
      </c>
      <c r="J60" s="219">
        <f t="shared" si="7"/>
        <v>0.55665620381280179</v>
      </c>
      <c r="K60" s="234">
        <f t="shared" si="5"/>
        <v>0.61795572726128412</v>
      </c>
      <c r="L60" s="221">
        <v>3</v>
      </c>
    </row>
    <row r="61" spans="2:31" ht="15" thickBot="1">
      <c r="B61" s="222" t="s">
        <v>192</v>
      </c>
      <c r="C61" s="223"/>
      <c r="D61" s="306"/>
      <c r="E61" s="306"/>
      <c r="F61" s="306"/>
      <c r="G61" s="306"/>
      <c r="H61" s="306"/>
      <c r="I61" s="306">
        <f t="shared" ref="H61:J62" si="8">I18/I28</f>
        <v>0.66554714066484078</v>
      </c>
      <c r="J61" s="224">
        <f t="shared" si="8"/>
        <v>0.56048854615207988</v>
      </c>
      <c r="K61" s="235">
        <f t="shared" si="5"/>
        <v>0.61301784340846033</v>
      </c>
      <c r="L61" s="226">
        <v>3</v>
      </c>
    </row>
    <row r="62" spans="2:31" ht="26.4">
      <c r="B62" s="229" t="s">
        <v>169</v>
      </c>
      <c r="C62" s="230">
        <f>C19/C29</f>
        <v>0.64061885178910905</v>
      </c>
      <c r="D62" s="230">
        <f>D19/D29</f>
        <v>0.65228976469175448</v>
      </c>
      <c r="E62" s="230">
        <f>E19/E29</f>
        <v>0.66142304021763887</v>
      </c>
      <c r="F62" s="230">
        <f>F19/F29</f>
        <v>0.66925670184652297</v>
      </c>
      <c r="G62" s="230">
        <f>G19/G29</f>
        <v>0.6473577354359602</v>
      </c>
      <c r="H62" s="230">
        <f t="shared" si="8"/>
        <v>0.65505474217656701</v>
      </c>
      <c r="I62" s="230">
        <f t="shared" si="8"/>
        <v>0.63719059673718836</v>
      </c>
      <c r="J62" s="230">
        <f t="shared" si="8"/>
        <v>0.57516500101435664</v>
      </c>
      <c r="K62" s="230">
        <f t="shared" si="5"/>
        <v>0.64229455423863724</v>
      </c>
      <c r="L62" s="233"/>
    </row>
    <row r="63" spans="2:31">
      <c r="B63" s="354"/>
      <c r="C63" s="354"/>
      <c r="D63" s="354"/>
      <c r="E63" s="354"/>
      <c r="F63" s="354"/>
      <c r="G63" s="354"/>
      <c r="H63" s="354"/>
      <c r="I63" s="7"/>
      <c r="J63" s="7"/>
    </row>
    <row r="64" spans="2:31">
      <c r="B64" s="180"/>
      <c r="C64" s="180"/>
      <c r="D64" s="180"/>
      <c r="E64" s="180"/>
      <c r="F64" s="180"/>
      <c r="G64" s="180"/>
      <c r="H64" s="180"/>
      <c r="I64" s="181"/>
      <c r="J64" s="181"/>
      <c r="K64" s="179"/>
      <c r="L64" s="179"/>
      <c r="M64" s="179"/>
      <c r="N64" s="179"/>
      <c r="O64" s="179"/>
      <c r="P64" s="179"/>
      <c r="Q64" s="179"/>
      <c r="R64" s="179"/>
      <c r="S64" s="179"/>
      <c r="T64" s="179"/>
      <c r="U64" s="179"/>
      <c r="V64" s="179"/>
      <c r="W64" s="179"/>
      <c r="X64" s="179"/>
      <c r="Y64" s="179"/>
      <c r="Z64" s="179"/>
      <c r="AA64" s="179"/>
      <c r="AB64" s="179"/>
      <c r="AC64" s="179"/>
      <c r="AD64" s="179"/>
      <c r="AE64" s="179"/>
    </row>
    <row r="65" spans="2:31">
      <c r="B65" s="307" t="s">
        <v>199</v>
      </c>
      <c r="C65" s="307"/>
      <c r="D65" s="307"/>
      <c r="E65" s="307"/>
      <c r="F65" s="241"/>
      <c r="G65" s="241"/>
      <c r="H65" s="241"/>
    </row>
    <row r="66" spans="2:31" ht="14.4" thickBot="1">
      <c r="B66" s="208"/>
      <c r="C66" s="208"/>
      <c r="D66" s="208"/>
      <c r="E66" s="208"/>
      <c r="F66" s="208"/>
      <c r="G66" s="208"/>
      <c r="H66" s="349" t="s">
        <v>127</v>
      </c>
      <c r="I66" s="349"/>
      <c r="J66" s="349" t="s">
        <v>127</v>
      </c>
      <c r="L66" s="208"/>
      <c r="M66" s="208"/>
      <c r="N66" s="208"/>
      <c r="O66" s="208"/>
      <c r="P66" s="208"/>
      <c r="Q66" s="208"/>
      <c r="R66" s="349" t="s">
        <v>238</v>
      </c>
      <c r="S66" s="349"/>
      <c r="T66" s="349" t="s">
        <v>127</v>
      </c>
    </row>
    <row r="67" spans="2:31">
      <c r="B67" s="209"/>
      <c r="C67" s="210">
        <v>2014</v>
      </c>
      <c r="D67" s="210">
        <v>2015</v>
      </c>
      <c r="E67" s="210">
        <v>2016</v>
      </c>
      <c r="F67" s="210">
        <v>2017</v>
      </c>
      <c r="G67" s="210">
        <v>2018</v>
      </c>
      <c r="H67" s="210">
        <v>2019</v>
      </c>
      <c r="I67" s="210">
        <v>2020</v>
      </c>
      <c r="J67" s="211">
        <v>2021</v>
      </c>
      <c r="L67" s="209"/>
      <c r="M67" s="210">
        <v>2014</v>
      </c>
      <c r="N67" s="210">
        <v>2015</v>
      </c>
      <c r="O67" s="210">
        <v>2016</v>
      </c>
      <c r="P67" s="210">
        <v>2017</v>
      </c>
      <c r="Q67" s="210">
        <v>2018</v>
      </c>
      <c r="R67" s="210">
        <v>2019</v>
      </c>
      <c r="S67" s="210">
        <v>2020</v>
      </c>
      <c r="T67" s="211">
        <v>2021</v>
      </c>
    </row>
    <row r="68" spans="2:31">
      <c r="B68" s="200" t="s">
        <v>187</v>
      </c>
      <c r="C68" s="212">
        <v>232824</v>
      </c>
      <c r="D68" s="212">
        <v>251859</v>
      </c>
      <c r="E68" s="212">
        <v>233849</v>
      </c>
      <c r="F68" s="212">
        <v>264820</v>
      </c>
      <c r="G68" s="212">
        <v>90271</v>
      </c>
      <c r="H68" s="212">
        <v>134752</v>
      </c>
      <c r="I68" s="212">
        <v>201243</v>
      </c>
      <c r="J68" s="213">
        <v>312078</v>
      </c>
      <c r="L68" s="200" t="s">
        <v>187</v>
      </c>
      <c r="M68" s="212">
        <f t="shared" ref="M68:T70" si="9">C68/1000</f>
        <v>232.82400000000001</v>
      </c>
      <c r="N68" s="212">
        <f t="shared" si="9"/>
        <v>251.85900000000001</v>
      </c>
      <c r="O68" s="212">
        <f t="shared" si="9"/>
        <v>233.84899999999999</v>
      </c>
      <c r="P68" s="212">
        <f t="shared" si="9"/>
        <v>264.82</v>
      </c>
      <c r="Q68" s="212">
        <f t="shared" si="9"/>
        <v>90.271000000000001</v>
      </c>
      <c r="R68" s="212">
        <f t="shared" si="9"/>
        <v>134.75200000000001</v>
      </c>
      <c r="S68" s="212">
        <f t="shared" si="9"/>
        <v>201.24299999999999</v>
      </c>
      <c r="T68" s="212">
        <f t="shared" si="9"/>
        <v>312.07799999999997</v>
      </c>
    </row>
    <row r="69" spans="2:31">
      <c r="B69" s="200" t="s">
        <v>188</v>
      </c>
      <c r="C69" s="212">
        <v>400698</v>
      </c>
      <c r="D69" s="212">
        <v>532175</v>
      </c>
      <c r="E69" s="212">
        <v>581740</v>
      </c>
      <c r="F69" s="212">
        <v>791440</v>
      </c>
      <c r="G69" s="212">
        <v>795895</v>
      </c>
      <c r="H69" s="212">
        <v>1090995</v>
      </c>
      <c r="I69" s="212">
        <v>1570801</v>
      </c>
      <c r="J69" s="213">
        <v>2442375</v>
      </c>
      <c r="L69" s="200" t="s">
        <v>188</v>
      </c>
      <c r="M69" s="212">
        <f t="shared" si="9"/>
        <v>400.69799999999998</v>
      </c>
      <c r="N69" s="212">
        <f t="shared" si="9"/>
        <v>532.17499999999995</v>
      </c>
      <c r="O69" s="212">
        <f t="shared" si="9"/>
        <v>581.74</v>
      </c>
      <c r="P69" s="212">
        <f t="shared" si="9"/>
        <v>791.44</v>
      </c>
      <c r="Q69" s="212">
        <f t="shared" si="9"/>
        <v>795.89499999999998</v>
      </c>
      <c r="R69" s="212">
        <f t="shared" si="9"/>
        <v>1090.9949999999999</v>
      </c>
      <c r="S69" s="212">
        <f t="shared" si="9"/>
        <v>1570.8009999999999</v>
      </c>
      <c r="T69" s="212">
        <f t="shared" si="9"/>
        <v>2442.375</v>
      </c>
    </row>
    <row r="70" spans="2:31">
      <c r="B70" s="200" t="s">
        <v>189</v>
      </c>
      <c r="C70" s="212">
        <v>353976</v>
      </c>
      <c r="D70" s="212">
        <v>440280</v>
      </c>
      <c r="E70" s="212">
        <v>438439</v>
      </c>
      <c r="F70" s="212">
        <v>428980</v>
      </c>
      <c r="G70" s="212">
        <v>254128</v>
      </c>
      <c r="H70" s="212">
        <v>331220</v>
      </c>
      <c r="I70" s="212">
        <v>366460</v>
      </c>
      <c r="J70" s="213">
        <v>450977</v>
      </c>
      <c r="L70" s="200" t="s">
        <v>189</v>
      </c>
      <c r="M70" s="212">
        <f t="shared" si="9"/>
        <v>353.976</v>
      </c>
      <c r="N70" s="212">
        <f t="shared" si="9"/>
        <v>440.28</v>
      </c>
      <c r="O70" s="212">
        <f t="shared" si="9"/>
        <v>438.43900000000002</v>
      </c>
      <c r="P70" s="212">
        <f t="shared" si="9"/>
        <v>428.98</v>
      </c>
      <c r="Q70" s="212">
        <f t="shared" si="9"/>
        <v>254.12799999999999</v>
      </c>
      <c r="R70" s="212">
        <f t="shared" si="9"/>
        <v>331.22</v>
      </c>
      <c r="S70" s="212">
        <f t="shared" si="9"/>
        <v>366.46</v>
      </c>
      <c r="T70" s="212">
        <f t="shared" si="9"/>
        <v>450.97699999999998</v>
      </c>
    </row>
    <row r="71" spans="2:31">
      <c r="B71" s="200" t="s">
        <v>190</v>
      </c>
      <c r="C71" s="212"/>
      <c r="D71" s="212"/>
      <c r="E71" s="212">
        <v>64574</v>
      </c>
      <c r="F71" s="212">
        <v>142290</v>
      </c>
      <c r="G71" s="212">
        <v>131964</v>
      </c>
      <c r="H71" s="212">
        <v>235279</v>
      </c>
      <c r="I71" s="212">
        <v>409244</v>
      </c>
      <c r="J71" s="213">
        <v>647270</v>
      </c>
      <c r="L71" s="200" t="s">
        <v>190</v>
      </c>
      <c r="M71" s="212"/>
      <c r="N71" s="303"/>
      <c r="O71" s="303">
        <f t="shared" ref="O71:T71" si="10">E71/1000</f>
        <v>64.573999999999998</v>
      </c>
      <c r="P71" s="303">
        <f t="shared" si="10"/>
        <v>142.29</v>
      </c>
      <c r="Q71" s="303">
        <f t="shared" si="10"/>
        <v>131.964</v>
      </c>
      <c r="R71" s="303">
        <f t="shared" si="10"/>
        <v>235.279</v>
      </c>
      <c r="S71" s="212">
        <f t="shared" si="10"/>
        <v>409.24400000000003</v>
      </c>
      <c r="T71" s="212">
        <f t="shared" si="10"/>
        <v>647.27</v>
      </c>
    </row>
    <row r="72" spans="2:31">
      <c r="B72" s="200" t="s">
        <v>191</v>
      </c>
      <c r="C72" s="212"/>
      <c r="D72" s="212"/>
      <c r="E72" s="303"/>
      <c r="F72" s="303">
        <v>114305</v>
      </c>
      <c r="G72" s="303">
        <v>141201</v>
      </c>
      <c r="H72" s="303">
        <v>191054</v>
      </c>
      <c r="I72" s="212">
        <v>302518</v>
      </c>
      <c r="J72" s="213">
        <v>387971</v>
      </c>
      <c r="L72" s="200" t="s">
        <v>191</v>
      </c>
      <c r="M72" s="212"/>
      <c r="N72" s="303"/>
      <c r="O72" s="303"/>
      <c r="P72" s="303">
        <f t="shared" ref="P72:T72" si="11">F72/1000</f>
        <v>114.30500000000001</v>
      </c>
      <c r="Q72" s="303">
        <f t="shared" si="11"/>
        <v>141.20099999999999</v>
      </c>
      <c r="R72" s="303">
        <f t="shared" si="11"/>
        <v>191.054</v>
      </c>
      <c r="S72" s="212">
        <f t="shared" si="11"/>
        <v>302.51799999999997</v>
      </c>
      <c r="T72" s="212">
        <f t="shared" si="11"/>
        <v>387.971</v>
      </c>
    </row>
    <row r="73" spans="2:31" ht="14.4" thickBot="1">
      <c r="B73" s="222" t="s">
        <v>192</v>
      </c>
      <c r="C73" s="212"/>
      <c r="D73" s="212"/>
      <c r="E73" s="303"/>
      <c r="F73" s="303"/>
      <c r="G73" s="303"/>
      <c r="H73" s="303"/>
      <c r="I73" s="212">
        <v>94223</v>
      </c>
      <c r="J73" s="213">
        <v>118239</v>
      </c>
      <c r="L73" s="222" t="s">
        <v>192</v>
      </c>
      <c r="M73" s="212"/>
      <c r="N73" s="303"/>
      <c r="O73" s="303"/>
      <c r="P73" s="303"/>
      <c r="Q73" s="303"/>
      <c r="R73" s="303"/>
      <c r="S73" s="212">
        <f>I73/1000</f>
        <v>94.222999999999999</v>
      </c>
      <c r="T73" s="212">
        <f>J73/1000</f>
        <v>118.239</v>
      </c>
    </row>
    <row r="74" spans="2:31">
      <c r="B74" s="201" t="s">
        <v>0</v>
      </c>
      <c r="C74" s="203">
        <f>SUM(C68:C73)</f>
        <v>987498</v>
      </c>
      <c r="D74" s="203">
        <f t="shared" ref="D74:I74" si="12">SUM(D68:D73)</f>
        <v>1224314</v>
      </c>
      <c r="E74" s="203">
        <f t="shared" si="12"/>
        <v>1318602</v>
      </c>
      <c r="F74" s="203">
        <f t="shared" si="12"/>
        <v>1741835</v>
      </c>
      <c r="G74" s="203">
        <f t="shared" si="12"/>
        <v>1413459</v>
      </c>
      <c r="H74" s="203">
        <f t="shared" si="12"/>
        <v>1983300</v>
      </c>
      <c r="I74" s="203">
        <f t="shared" si="12"/>
        <v>2944489</v>
      </c>
      <c r="J74" s="204">
        <f>SUM(J68:J73)</f>
        <v>4358910</v>
      </c>
      <c r="L74" s="201" t="s">
        <v>0</v>
      </c>
      <c r="M74" s="203">
        <f>SUM(M68:M73)</f>
        <v>987.49799999999993</v>
      </c>
      <c r="N74" s="203">
        <f t="shared" ref="N74:S74" si="13">SUM(N68:N73)</f>
        <v>1224.3139999999999</v>
      </c>
      <c r="O74" s="203">
        <f t="shared" si="13"/>
        <v>1318.6020000000001</v>
      </c>
      <c r="P74" s="203">
        <f t="shared" si="13"/>
        <v>1741.835</v>
      </c>
      <c r="Q74" s="203">
        <f t="shared" si="13"/>
        <v>1413.4589999999998</v>
      </c>
      <c r="R74" s="203">
        <f t="shared" si="13"/>
        <v>1983.3</v>
      </c>
      <c r="S74" s="203">
        <f t="shared" si="13"/>
        <v>2944.489</v>
      </c>
      <c r="T74" s="204">
        <f>SUM(T68:T73)</f>
        <v>4358.91</v>
      </c>
    </row>
    <row r="75" spans="2:31" ht="14.4" thickBot="1">
      <c r="B75" s="202" t="s">
        <v>129</v>
      </c>
      <c r="C75" s="205"/>
      <c r="D75" s="206">
        <f>(D74/C74)-1</f>
        <v>0.23981415658563354</v>
      </c>
      <c r="E75" s="206">
        <f t="shared" ref="E75:J75" si="14">(E74/D74)-1</f>
        <v>7.7012923155334256E-2</v>
      </c>
      <c r="F75" s="206">
        <f t="shared" si="14"/>
        <v>0.32097099807220064</v>
      </c>
      <c r="G75" s="259">
        <f t="shared" si="14"/>
        <v>-0.18852302313364933</v>
      </c>
      <c r="H75" s="206">
        <f t="shared" si="14"/>
        <v>0.40315354035737849</v>
      </c>
      <c r="I75" s="206">
        <f t="shared" si="14"/>
        <v>0.48464125447486506</v>
      </c>
      <c r="J75" s="207">
        <f t="shared" si="14"/>
        <v>0.48036212735045036</v>
      </c>
      <c r="L75" s="202" t="s">
        <v>129</v>
      </c>
      <c r="M75" s="205"/>
      <c r="N75" s="206">
        <f>(N74/M74)-1</f>
        <v>0.23981415658563354</v>
      </c>
      <c r="O75" s="206">
        <f t="shared" ref="O75" si="15">(O74/N74)-1</f>
        <v>7.7012923155334478E-2</v>
      </c>
      <c r="P75" s="206">
        <f t="shared" ref="P75" si="16">(P74/O74)-1</f>
        <v>0.32097099807220064</v>
      </c>
      <c r="Q75" s="259">
        <f t="shared" ref="Q75" si="17">(Q74/P74)-1</f>
        <v>-0.18852302313364944</v>
      </c>
      <c r="R75" s="206">
        <f t="shared" ref="R75" si="18">(R74/Q74)-1</f>
        <v>0.40315354035737871</v>
      </c>
      <c r="S75" s="206">
        <f t="shared" ref="S75" si="19">(S74/R74)-1</f>
        <v>0.48464125447486528</v>
      </c>
      <c r="T75" s="207">
        <f t="shared" ref="T75" si="20">(T74/S74)-1</f>
        <v>0.48036212735045014</v>
      </c>
    </row>
    <row r="77" spans="2:31">
      <c r="B77" s="180"/>
      <c r="C77" s="180"/>
      <c r="D77" s="180"/>
      <c r="E77" s="180"/>
      <c r="F77" s="180"/>
      <c r="G77" s="180"/>
      <c r="H77" s="180"/>
      <c r="I77" s="181"/>
      <c r="J77" s="181"/>
      <c r="K77" s="179"/>
      <c r="L77" s="179"/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  <c r="AA77" s="179"/>
      <c r="AB77" s="179"/>
      <c r="AC77" s="179"/>
      <c r="AD77" s="179"/>
      <c r="AE77" s="179"/>
    </row>
  </sheetData>
  <mergeCells count="13">
    <mergeCell ref="B31:H31"/>
    <mergeCell ref="I31:J31"/>
    <mergeCell ref="R66:T66"/>
    <mergeCell ref="B1:H1"/>
    <mergeCell ref="I1:J1"/>
    <mergeCell ref="B11:H11"/>
    <mergeCell ref="I11:J11"/>
    <mergeCell ref="B21:H21"/>
    <mergeCell ref="I21:J21"/>
    <mergeCell ref="I42:K42"/>
    <mergeCell ref="I54:K54"/>
    <mergeCell ref="H66:J66"/>
    <mergeCell ref="B63:H6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E835E-17F2-4400-90DB-65608CAC5C94}">
  <dimension ref="A1:AD91"/>
  <sheetViews>
    <sheetView showGridLines="0" zoomScale="70" zoomScaleNormal="70" workbookViewId="0">
      <selection activeCell="D53" sqref="A53:D53"/>
    </sheetView>
  </sheetViews>
  <sheetFormatPr defaultRowHeight="13.8"/>
  <cols>
    <col min="1" max="1" width="12.77734375" style="2" customWidth="1"/>
    <col min="2" max="9" width="14.109375" style="2" bestFit="1" customWidth="1"/>
    <col min="10" max="10" width="8.33203125" style="2" customWidth="1"/>
    <col min="11" max="11" width="12.109375" style="2" customWidth="1"/>
    <col min="12" max="19" width="9.5546875" style="2" customWidth="1"/>
    <col min="20" max="26" width="9.44140625" style="2" customWidth="1"/>
    <col min="27" max="16384" width="8.88671875" style="2"/>
  </cols>
  <sheetData>
    <row r="1" spans="1:19" ht="14.4" thickBot="1">
      <c r="A1" s="350" t="s">
        <v>170</v>
      </c>
      <c r="B1" s="351"/>
      <c r="C1" s="351"/>
      <c r="D1" s="351"/>
      <c r="E1" s="351"/>
      <c r="F1" s="351"/>
      <c r="G1" s="351"/>
      <c r="H1" s="352" t="s">
        <v>127</v>
      </c>
      <c r="I1" s="353"/>
      <c r="K1" s="14"/>
      <c r="L1" s="77"/>
      <c r="M1" s="77"/>
      <c r="N1" s="77"/>
      <c r="O1" s="77"/>
      <c r="P1" s="70"/>
      <c r="Q1" s="10"/>
      <c r="R1" s="10"/>
      <c r="S1" s="10"/>
    </row>
    <row r="2" spans="1:19">
      <c r="A2" s="236"/>
      <c r="B2" s="182">
        <v>2014</v>
      </c>
      <c r="C2" s="182">
        <v>2015</v>
      </c>
      <c r="D2" s="182">
        <v>2016</v>
      </c>
      <c r="E2" s="182">
        <v>2017</v>
      </c>
      <c r="F2" s="182">
        <v>2018</v>
      </c>
      <c r="G2" s="182">
        <v>2019</v>
      </c>
      <c r="H2" s="182">
        <v>2020</v>
      </c>
      <c r="I2" s="237">
        <v>2021</v>
      </c>
      <c r="K2" s="14"/>
      <c r="L2" s="77"/>
      <c r="M2" s="77"/>
      <c r="N2" s="77"/>
      <c r="O2" s="77"/>
      <c r="P2" s="70"/>
      <c r="Q2" s="10"/>
      <c r="R2" s="10"/>
      <c r="S2" s="10"/>
    </row>
    <row r="3" spans="1:19">
      <c r="A3" s="238" t="s">
        <v>210</v>
      </c>
      <c r="B3" s="10">
        <v>23046424</v>
      </c>
      <c r="C3" s="10">
        <v>29561999</v>
      </c>
      <c r="D3" s="10">
        <v>32850738</v>
      </c>
      <c r="E3" s="10">
        <v>36229077</v>
      </c>
      <c r="F3" s="10">
        <v>42223652</v>
      </c>
      <c r="G3" s="10">
        <v>51392368</v>
      </c>
      <c r="H3" s="10">
        <v>69315799</v>
      </c>
      <c r="I3" s="239">
        <v>108955123</v>
      </c>
      <c r="K3" s="14"/>
      <c r="L3" s="77"/>
      <c r="M3" s="77"/>
      <c r="N3" s="77"/>
      <c r="O3" s="77"/>
      <c r="P3" s="70"/>
      <c r="Q3" s="10"/>
      <c r="R3" s="10"/>
      <c r="S3" s="10"/>
    </row>
    <row r="4" spans="1:19">
      <c r="A4" s="238" t="s">
        <v>211</v>
      </c>
      <c r="B4" s="10">
        <v>33543583</v>
      </c>
      <c r="C4" s="10">
        <v>42052507</v>
      </c>
      <c r="D4" s="10">
        <v>48476955</v>
      </c>
      <c r="E4" s="10">
        <v>57123095</v>
      </c>
      <c r="F4" s="10">
        <v>74232325</v>
      </c>
      <c r="G4" s="10">
        <v>104439345</v>
      </c>
      <c r="H4" s="10">
        <v>152290315</v>
      </c>
      <c r="I4" s="239">
        <v>254068260</v>
      </c>
      <c r="K4" s="14"/>
      <c r="L4" s="77"/>
      <c r="M4" s="77"/>
      <c r="N4" s="77"/>
      <c r="O4" s="77"/>
      <c r="P4" s="70"/>
      <c r="Q4" s="10"/>
      <c r="R4" s="10"/>
      <c r="S4" s="10"/>
    </row>
    <row r="5" spans="1:19">
      <c r="A5" s="238" t="s">
        <v>212</v>
      </c>
      <c r="B5" s="10">
        <v>33494790</v>
      </c>
      <c r="C5" s="10">
        <v>38576299</v>
      </c>
      <c r="D5" s="10">
        <v>38807717</v>
      </c>
      <c r="E5" s="10">
        <v>39080897</v>
      </c>
      <c r="F5" s="10">
        <v>47052484</v>
      </c>
      <c r="G5" s="10">
        <v>52427410</v>
      </c>
      <c r="H5" s="10">
        <v>81370822</v>
      </c>
      <c r="I5" s="239">
        <v>115643263</v>
      </c>
      <c r="K5" s="14"/>
      <c r="L5" s="77"/>
      <c r="M5" s="77"/>
      <c r="N5" s="77"/>
      <c r="O5" s="77"/>
      <c r="P5" s="70"/>
      <c r="Q5" s="10"/>
      <c r="R5" s="10"/>
      <c r="S5" s="10"/>
    </row>
    <row r="6" spans="1:19">
      <c r="A6" s="238" t="s">
        <v>213</v>
      </c>
      <c r="B6" s="76" t="s">
        <v>1</v>
      </c>
      <c r="C6" s="76">
        <v>2177435</v>
      </c>
      <c r="D6" s="76">
        <v>7959507</v>
      </c>
      <c r="E6" s="76">
        <v>14350143</v>
      </c>
      <c r="F6" s="76">
        <v>25477356</v>
      </c>
      <c r="G6" s="76">
        <v>36392174</v>
      </c>
      <c r="H6" s="76">
        <v>60186996</v>
      </c>
      <c r="I6" s="240">
        <v>98312592</v>
      </c>
      <c r="K6" s="14"/>
      <c r="L6" s="77"/>
      <c r="M6" s="77"/>
      <c r="N6" s="77"/>
      <c r="O6" s="77"/>
      <c r="P6" s="70"/>
      <c r="Q6" s="10"/>
      <c r="R6" s="10"/>
      <c r="S6" s="10"/>
    </row>
    <row r="7" spans="1:19">
      <c r="A7" s="238" t="s">
        <v>191</v>
      </c>
      <c r="B7" s="76" t="s">
        <v>1</v>
      </c>
      <c r="C7" s="76">
        <v>862030</v>
      </c>
      <c r="D7" s="76">
        <v>4681933</v>
      </c>
      <c r="E7" s="76">
        <v>13210145</v>
      </c>
      <c r="F7" s="76">
        <v>20955512</v>
      </c>
      <c r="G7" s="76">
        <v>30348784</v>
      </c>
      <c r="H7" s="76">
        <v>53157628</v>
      </c>
      <c r="I7" s="240">
        <v>100757086</v>
      </c>
      <c r="K7" s="14"/>
      <c r="L7" s="77"/>
      <c r="M7" s="77"/>
      <c r="N7" s="77"/>
      <c r="O7" s="77"/>
      <c r="P7" s="70"/>
      <c r="Q7" s="10"/>
      <c r="R7" s="10"/>
      <c r="S7" s="10"/>
    </row>
    <row r="8" spans="1:19">
      <c r="A8" s="238" t="s">
        <v>214</v>
      </c>
      <c r="B8" s="76" t="s">
        <v>1</v>
      </c>
      <c r="C8" s="76" t="s">
        <v>1</v>
      </c>
      <c r="D8" s="76" t="s">
        <v>1</v>
      </c>
      <c r="E8" s="76" t="s">
        <v>1</v>
      </c>
      <c r="F8" s="76">
        <v>1138798</v>
      </c>
      <c r="G8" s="76">
        <v>9282271</v>
      </c>
      <c r="H8" s="76">
        <v>20390177</v>
      </c>
      <c r="I8" s="240">
        <v>38759900</v>
      </c>
      <c r="K8" s="14"/>
      <c r="L8" s="77"/>
      <c r="M8" s="77"/>
      <c r="N8" s="77"/>
      <c r="O8" s="77"/>
      <c r="P8" s="70"/>
      <c r="Q8" s="10"/>
      <c r="R8" s="10"/>
      <c r="S8" s="10"/>
    </row>
    <row r="9" spans="1:19" ht="28.2" thickBot="1">
      <c r="A9" s="243" t="s">
        <v>169</v>
      </c>
      <c r="B9" s="250">
        <v>1888308478</v>
      </c>
      <c r="C9" s="250">
        <v>2235994713.5601697</v>
      </c>
      <c r="D9" s="250">
        <v>2595347984</v>
      </c>
      <c r="E9" s="250">
        <v>3095039170</v>
      </c>
      <c r="F9" s="250">
        <v>3656359182</v>
      </c>
      <c r="G9" s="250">
        <v>4201885172</v>
      </c>
      <c r="H9" s="250">
        <v>5663536186</v>
      </c>
      <c r="I9" s="251">
        <v>8489361144</v>
      </c>
      <c r="K9" s="14"/>
      <c r="L9" s="77"/>
      <c r="M9" s="77"/>
      <c r="N9" s="77"/>
      <c r="O9" s="77"/>
      <c r="P9" s="70"/>
      <c r="Q9" s="10"/>
      <c r="R9" s="10"/>
      <c r="S9" s="10"/>
    </row>
    <row r="10" spans="1:19">
      <c r="A10" s="14"/>
      <c r="B10" s="77"/>
      <c r="C10" s="77"/>
      <c r="D10" s="77"/>
      <c r="E10" s="77"/>
      <c r="F10" s="70"/>
      <c r="G10" s="10"/>
      <c r="H10" s="10"/>
      <c r="I10" s="10"/>
      <c r="K10" s="14"/>
      <c r="L10" s="77"/>
      <c r="M10" s="77"/>
      <c r="N10" s="77"/>
      <c r="O10" s="77"/>
      <c r="P10" s="70"/>
      <c r="Q10" s="10"/>
      <c r="R10" s="10"/>
      <c r="S10" s="10"/>
    </row>
    <row r="11" spans="1:19">
      <c r="A11" s="318" t="s">
        <v>215</v>
      </c>
      <c r="B11" s="318"/>
      <c r="C11" s="307"/>
      <c r="D11" s="307"/>
      <c r="E11" s="241"/>
      <c r="F11" s="241"/>
      <c r="G11" s="241"/>
    </row>
    <row r="12" spans="1:19" ht="14.4" customHeight="1" thickBot="1">
      <c r="A12" s="208"/>
      <c r="B12" s="208"/>
      <c r="C12" s="208"/>
      <c r="D12" s="208"/>
      <c r="E12" s="208"/>
      <c r="F12" s="208"/>
      <c r="G12" s="349" t="s">
        <v>127</v>
      </c>
      <c r="H12" s="349" t="s">
        <v>127</v>
      </c>
      <c r="I12" s="349"/>
      <c r="K12" s="208"/>
      <c r="L12" s="208"/>
      <c r="M12" s="208"/>
      <c r="N12" s="208"/>
      <c r="O12" s="208"/>
      <c r="P12" s="208"/>
      <c r="Q12" s="349" t="s">
        <v>238</v>
      </c>
      <c r="R12" s="349" t="s">
        <v>127</v>
      </c>
      <c r="S12" s="349"/>
    </row>
    <row r="13" spans="1:19">
      <c r="A13" s="209"/>
      <c r="B13" s="210">
        <v>2014</v>
      </c>
      <c r="C13" s="210">
        <v>2015</v>
      </c>
      <c r="D13" s="210">
        <v>2016</v>
      </c>
      <c r="E13" s="210">
        <v>2017</v>
      </c>
      <c r="F13" s="210">
        <v>2018</v>
      </c>
      <c r="G13" s="210">
        <v>2019</v>
      </c>
      <c r="H13" s="210">
        <v>2020</v>
      </c>
      <c r="I13" s="211">
        <v>2021</v>
      </c>
      <c r="K13" s="209"/>
      <c r="L13" s="210">
        <v>2014</v>
      </c>
      <c r="M13" s="210">
        <v>2015</v>
      </c>
      <c r="N13" s="210">
        <v>2016</v>
      </c>
      <c r="O13" s="210">
        <v>2017</v>
      </c>
      <c r="P13" s="210">
        <v>2018</v>
      </c>
      <c r="Q13" s="210">
        <v>2019</v>
      </c>
      <c r="R13" s="210">
        <v>2020</v>
      </c>
      <c r="S13" s="211">
        <v>2021</v>
      </c>
    </row>
    <row r="14" spans="1:19">
      <c r="A14" s="200" t="s">
        <v>187</v>
      </c>
      <c r="B14" s="212">
        <v>803332</v>
      </c>
      <c r="C14" s="212">
        <v>1049478</v>
      </c>
      <c r="D14" s="212">
        <v>1195186</v>
      </c>
      <c r="E14" s="212">
        <v>1390788</v>
      </c>
      <c r="F14" s="212">
        <v>2000179</v>
      </c>
      <c r="G14" s="212">
        <v>2521054</v>
      </c>
      <c r="H14" s="212">
        <v>1879008</v>
      </c>
      <c r="I14" s="213">
        <v>3329736</v>
      </c>
      <c r="K14" s="200" t="s">
        <v>187</v>
      </c>
      <c r="L14" s="212">
        <f t="shared" ref="L14:S16" si="0">B14/1000</f>
        <v>803.33199999999999</v>
      </c>
      <c r="M14" s="212">
        <f t="shared" si="0"/>
        <v>1049.4780000000001</v>
      </c>
      <c r="N14" s="212">
        <f t="shared" si="0"/>
        <v>1195.1859999999999</v>
      </c>
      <c r="O14" s="212">
        <f t="shared" si="0"/>
        <v>1390.788</v>
      </c>
      <c r="P14" s="212">
        <f t="shared" si="0"/>
        <v>2000.1790000000001</v>
      </c>
      <c r="Q14" s="212">
        <f t="shared" si="0"/>
        <v>2521.0540000000001</v>
      </c>
      <c r="R14" s="212">
        <f t="shared" si="0"/>
        <v>1879.008</v>
      </c>
      <c r="S14" s="212">
        <f t="shared" si="0"/>
        <v>3329.7359999999999</v>
      </c>
    </row>
    <row r="15" spans="1:19">
      <c r="A15" s="200" t="s">
        <v>188</v>
      </c>
      <c r="B15" s="212">
        <v>877547</v>
      </c>
      <c r="C15" s="212">
        <v>1096026</v>
      </c>
      <c r="D15" s="212">
        <v>1440566</v>
      </c>
      <c r="E15" s="212">
        <v>1716773</v>
      </c>
      <c r="F15" s="212">
        <v>2850053</v>
      </c>
      <c r="G15" s="212">
        <v>3975600</v>
      </c>
      <c r="H15" s="212">
        <v>3118614</v>
      </c>
      <c r="I15" s="213">
        <v>5404863</v>
      </c>
      <c r="K15" s="200" t="s">
        <v>188</v>
      </c>
      <c r="L15" s="212">
        <f t="shared" si="0"/>
        <v>877.54700000000003</v>
      </c>
      <c r="M15" s="212">
        <f t="shared" si="0"/>
        <v>1096.0260000000001</v>
      </c>
      <c r="N15" s="212">
        <f t="shared" si="0"/>
        <v>1440.566</v>
      </c>
      <c r="O15" s="212">
        <f t="shared" si="0"/>
        <v>1716.7729999999999</v>
      </c>
      <c r="P15" s="212">
        <f t="shared" si="0"/>
        <v>2850.0529999999999</v>
      </c>
      <c r="Q15" s="212">
        <f t="shared" si="0"/>
        <v>3975.6</v>
      </c>
      <c r="R15" s="212">
        <f t="shared" si="0"/>
        <v>3118.614</v>
      </c>
      <c r="S15" s="212">
        <f t="shared" si="0"/>
        <v>5404.8630000000003</v>
      </c>
    </row>
    <row r="16" spans="1:19">
      <c r="A16" s="200" t="s">
        <v>189</v>
      </c>
      <c r="B16" s="212">
        <v>1072136</v>
      </c>
      <c r="C16" s="212">
        <v>1375984</v>
      </c>
      <c r="D16" s="212">
        <v>1471762</v>
      </c>
      <c r="E16" s="212">
        <v>1451193</v>
      </c>
      <c r="F16" s="212">
        <v>2191887</v>
      </c>
      <c r="G16" s="212">
        <v>2596001</v>
      </c>
      <c r="H16" s="212">
        <v>2022695</v>
      </c>
      <c r="I16" s="213">
        <v>3959119</v>
      </c>
      <c r="K16" s="200" t="s">
        <v>189</v>
      </c>
      <c r="L16" s="212">
        <f t="shared" si="0"/>
        <v>1072.136</v>
      </c>
      <c r="M16" s="212">
        <f t="shared" si="0"/>
        <v>1375.9839999999999</v>
      </c>
      <c r="N16" s="212">
        <f t="shared" si="0"/>
        <v>1471.7619999999999</v>
      </c>
      <c r="O16" s="212">
        <f t="shared" si="0"/>
        <v>1451.193</v>
      </c>
      <c r="P16" s="212">
        <f t="shared" si="0"/>
        <v>2191.8870000000002</v>
      </c>
      <c r="Q16" s="212">
        <f t="shared" si="0"/>
        <v>2596.0010000000002</v>
      </c>
      <c r="R16" s="212">
        <f t="shared" si="0"/>
        <v>2022.6949999999999</v>
      </c>
      <c r="S16" s="212">
        <f t="shared" si="0"/>
        <v>3959.1190000000001</v>
      </c>
    </row>
    <row r="17" spans="1:30">
      <c r="A17" s="200" t="s">
        <v>190</v>
      </c>
      <c r="B17" s="212"/>
      <c r="C17" s="212"/>
      <c r="D17" s="212">
        <v>209857</v>
      </c>
      <c r="E17" s="212">
        <v>538306</v>
      </c>
      <c r="F17" s="212">
        <v>1319723</v>
      </c>
      <c r="G17" s="212">
        <v>2225532</v>
      </c>
      <c r="H17" s="212">
        <v>2122807</v>
      </c>
      <c r="I17" s="213">
        <v>4745377</v>
      </c>
      <c r="K17" s="200" t="s">
        <v>190</v>
      </c>
      <c r="L17" s="212"/>
      <c r="M17" s="303"/>
      <c r="N17" s="303">
        <f t="shared" ref="N17:S17" si="1">D17/1000</f>
        <v>209.857</v>
      </c>
      <c r="O17" s="303">
        <f t="shared" si="1"/>
        <v>538.30600000000004</v>
      </c>
      <c r="P17" s="303">
        <f t="shared" si="1"/>
        <v>1319.723</v>
      </c>
      <c r="Q17" s="303">
        <f t="shared" si="1"/>
        <v>2225.5320000000002</v>
      </c>
      <c r="R17" s="212">
        <f t="shared" si="1"/>
        <v>2122.8069999999998</v>
      </c>
      <c r="S17" s="212">
        <f t="shared" si="1"/>
        <v>4745.3770000000004</v>
      </c>
    </row>
    <row r="18" spans="1:30">
      <c r="A18" s="200" t="s">
        <v>191</v>
      </c>
      <c r="B18" s="212"/>
      <c r="C18" s="212"/>
      <c r="D18" s="212"/>
      <c r="E18" s="212">
        <v>438122</v>
      </c>
      <c r="F18" s="212">
        <v>1105272</v>
      </c>
      <c r="G18" s="212">
        <v>1643509</v>
      </c>
      <c r="H18" s="212">
        <v>1344967</v>
      </c>
      <c r="I18" s="213">
        <v>2973421</v>
      </c>
      <c r="K18" s="200" t="s">
        <v>191</v>
      </c>
      <c r="L18" s="212"/>
      <c r="M18" s="303"/>
      <c r="N18" s="303"/>
      <c r="O18" s="303">
        <f t="shared" ref="O18:S18" si="2">E18/1000</f>
        <v>438.12200000000001</v>
      </c>
      <c r="P18" s="303">
        <f t="shared" si="2"/>
        <v>1105.2719999999999</v>
      </c>
      <c r="Q18" s="303">
        <f t="shared" si="2"/>
        <v>1643.509</v>
      </c>
      <c r="R18" s="212">
        <f t="shared" si="2"/>
        <v>1344.9670000000001</v>
      </c>
      <c r="S18" s="212">
        <f t="shared" si="2"/>
        <v>2973.4209999999998</v>
      </c>
    </row>
    <row r="19" spans="1:30" ht="14.4" thickBot="1">
      <c r="A19" s="222" t="s">
        <v>192</v>
      </c>
      <c r="B19" s="212"/>
      <c r="C19" s="212"/>
      <c r="D19" s="212"/>
      <c r="E19" s="212"/>
      <c r="F19" s="212"/>
      <c r="G19" s="212"/>
      <c r="H19" s="212">
        <v>371613</v>
      </c>
      <c r="I19" s="213">
        <v>532385</v>
      </c>
      <c r="K19" s="222" t="s">
        <v>192</v>
      </c>
      <c r="L19" s="212"/>
      <c r="M19" s="303"/>
      <c r="N19" s="303"/>
      <c r="O19" s="303"/>
      <c r="P19" s="303"/>
      <c r="Q19" s="303"/>
      <c r="R19" s="212">
        <f>H19/1000</f>
        <v>371.613</v>
      </c>
      <c r="S19" s="212">
        <f>I19/1000</f>
        <v>532.38499999999999</v>
      </c>
    </row>
    <row r="20" spans="1:30">
      <c r="A20" s="201" t="s">
        <v>0</v>
      </c>
      <c r="B20" s="203">
        <f>SUM(B14:B19)</f>
        <v>2753015</v>
      </c>
      <c r="C20" s="203">
        <f t="shared" ref="C20:H20" si="3">SUM(C14:C19)</f>
        <v>3521488</v>
      </c>
      <c r="D20" s="203">
        <f t="shared" si="3"/>
        <v>4317371</v>
      </c>
      <c r="E20" s="203">
        <f t="shared" si="3"/>
        <v>5535182</v>
      </c>
      <c r="F20" s="203">
        <f t="shared" si="3"/>
        <v>9467114</v>
      </c>
      <c r="G20" s="203">
        <f t="shared" si="3"/>
        <v>12961696</v>
      </c>
      <c r="H20" s="203">
        <f t="shared" si="3"/>
        <v>10859704</v>
      </c>
      <c r="I20" s="204">
        <f>SUM(I14:I19)</f>
        <v>20944901</v>
      </c>
      <c r="K20" s="201" t="s">
        <v>0</v>
      </c>
      <c r="L20" s="203">
        <f>SUM(L14:L19)</f>
        <v>2753.0149999999999</v>
      </c>
      <c r="M20" s="203">
        <f t="shared" ref="M20:R20" si="4">SUM(M14:M19)</f>
        <v>3521.4879999999998</v>
      </c>
      <c r="N20" s="203">
        <f t="shared" si="4"/>
        <v>4317.3710000000001</v>
      </c>
      <c r="O20" s="203">
        <f t="shared" si="4"/>
        <v>5535.1819999999998</v>
      </c>
      <c r="P20" s="203">
        <f t="shared" si="4"/>
        <v>9467.1140000000014</v>
      </c>
      <c r="Q20" s="203">
        <f t="shared" si="4"/>
        <v>12961.696000000002</v>
      </c>
      <c r="R20" s="203">
        <f t="shared" si="4"/>
        <v>10859.704</v>
      </c>
      <c r="S20" s="204">
        <f>SUM(S14:S19)</f>
        <v>20944.900999999998</v>
      </c>
    </row>
    <row r="21" spans="1:30" ht="14.4" thickBot="1">
      <c r="A21" s="202" t="s">
        <v>129</v>
      </c>
      <c r="B21" s="205"/>
      <c r="C21" s="255">
        <f>(C20/B20)-1</f>
        <v>0.27913868976376799</v>
      </c>
      <c r="D21" s="255">
        <f t="shared" ref="D21:I21" si="5">(D20/C20)-1</f>
        <v>0.2260075854297956</v>
      </c>
      <c r="E21" s="255">
        <f t="shared" si="5"/>
        <v>0.28207235375417117</v>
      </c>
      <c r="F21" s="255">
        <f t="shared" si="5"/>
        <v>0.710352794180932</v>
      </c>
      <c r="G21" s="255">
        <f t="shared" si="5"/>
        <v>0.36912854329207412</v>
      </c>
      <c r="H21" s="257">
        <f t="shared" si="5"/>
        <v>-0.16216951855683082</v>
      </c>
      <c r="I21" s="256">
        <f t="shared" si="5"/>
        <v>0.92868065280600653</v>
      </c>
      <c r="K21" s="202" t="s">
        <v>129</v>
      </c>
      <c r="L21" s="205"/>
      <c r="M21" s="255">
        <f>(M20/L20)-1</f>
        <v>0.27913868976376799</v>
      </c>
      <c r="N21" s="255">
        <f t="shared" ref="N21" si="6">(N20/M20)-1</f>
        <v>0.2260075854297956</v>
      </c>
      <c r="O21" s="255">
        <f t="shared" ref="O21" si="7">(O20/N20)-1</f>
        <v>0.28207235375417117</v>
      </c>
      <c r="P21" s="255">
        <f t="shared" ref="P21" si="8">(P20/O20)-1</f>
        <v>0.71035279418093245</v>
      </c>
      <c r="Q21" s="255">
        <f t="shared" ref="Q21" si="9">(Q20/P20)-1</f>
        <v>0.3691285432920739</v>
      </c>
      <c r="R21" s="257">
        <f t="shared" ref="R21" si="10">(R20/Q20)-1</f>
        <v>-0.16216951855683093</v>
      </c>
      <c r="S21" s="256">
        <f t="shared" ref="S21" si="11">(S20/R20)-1</f>
        <v>0.92868065280600631</v>
      </c>
    </row>
    <row r="22" spans="1:30" ht="27" thickBot="1">
      <c r="A22" s="249" t="s">
        <v>169</v>
      </c>
      <c r="B22" s="214">
        <v>69895098</v>
      </c>
      <c r="C22" s="214">
        <v>83227489</v>
      </c>
      <c r="D22" s="214">
        <v>99244953</v>
      </c>
      <c r="E22" s="214">
        <v>128508395</v>
      </c>
      <c r="F22" s="214">
        <v>213154597</v>
      </c>
      <c r="G22" s="214">
        <v>245163105</v>
      </c>
      <c r="H22" s="214">
        <v>197919281</v>
      </c>
      <c r="I22" s="215">
        <v>353227364</v>
      </c>
      <c r="K22" s="249" t="s">
        <v>169</v>
      </c>
      <c r="L22" s="214">
        <f t="shared" ref="L22:S22" si="12">B22/1000</f>
        <v>69895.097999999998</v>
      </c>
      <c r="M22" s="214">
        <f t="shared" si="12"/>
        <v>83227.489000000001</v>
      </c>
      <c r="N22" s="214">
        <f t="shared" si="12"/>
        <v>99244.952999999994</v>
      </c>
      <c r="O22" s="214">
        <f t="shared" si="12"/>
        <v>128508.395</v>
      </c>
      <c r="P22" s="214">
        <f t="shared" si="12"/>
        <v>213154.59700000001</v>
      </c>
      <c r="Q22" s="214">
        <f t="shared" si="12"/>
        <v>245163.10500000001</v>
      </c>
      <c r="R22" s="214">
        <f t="shared" si="12"/>
        <v>197919.28099999999</v>
      </c>
      <c r="S22" s="214">
        <f t="shared" si="12"/>
        <v>353227.364</v>
      </c>
    </row>
    <row r="23" spans="1:30" ht="14.4" thickBot="1">
      <c r="A23" s="202" t="s">
        <v>129</v>
      </c>
      <c r="B23" s="205"/>
      <c r="C23" s="255">
        <f>(C22/B22)-1</f>
        <v>0.19074858440001052</v>
      </c>
      <c r="D23" s="255">
        <f t="shared" ref="D23" si="13">(D22/C22)-1</f>
        <v>0.19245400999662499</v>
      </c>
      <c r="E23" s="255">
        <f t="shared" ref="E23" si="14">(E22/D22)-1</f>
        <v>0.29486075730218753</v>
      </c>
      <c r="F23" s="255">
        <f t="shared" ref="F23" si="15">(F22/E22)-1</f>
        <v>0.65868227519299416</v>
      </c>
      <c r="G23" s="255">
        <f t="shared" ref="G23" si="16">(G22/F22)-1</f>
        <v>0.15016569405725733</v>
      </c>
      <c r="H23" s="257">
        <f t="shared" ref="H23" si="17">(H22/G22)-1</f>
        <v>-0.19270364519163685</v>
      </c>
      <c r="I23" s="256">
        <f t="shared" ref="I23" si="18">(I22/H22)-1</f>
        <v>0.7847041592678381</v>
      </c>
      <c r="K23" s="202" t="s">
        <v>129</v>
      </c>
      <c r="L23" s="205"/>
      <c r="M23" s="255">
        <f>(M22/L22)-1</f>
        <v>0.19074858440001052</v>
      </c>
      <c r="N23" s="255">
        <f t="shared" ref="N23" si="19">(N22/M22)-1</f>
        <v>0.19245400999662499</v>
      </c>
      <c r="O23" s="255">
        <f t="shared" ref="O23" si="20">(O22/N22)-1</f>
        <v>0.29486075730218753</v>
      </c>
      <c r="P23" s="255">
        <f t="shared" ref="P23" si="21">(P22/O22)-1</f>
        <v>0.65868227519299416</v>
      </c>
      <c r="Q23" s="255">
        <f t="shared" ref="Q23" si="22">(Q22/P22)-1</f>
        <v>0.15016569405725733</v>
      </c>
      <c r="R23" s="257">
        <f t="shared" ref="R23" si="23">(R22/Q22)-1</f>
        <v>-0.19270364519163685</v>
      </c>
      <c r="S23" s="256">
        <f t="shared" ref="S23" si="24">(S22/R22)-1</f>
        <v>0.7847041592678381</v>
      </c>
    </row>
    <row r="24" spans="1:30">
      <c r="A24" s="187"/>
      <c r="B24" s="187"/>
      <c r="C24" s="187"/>
      <c r="D24" s="187"/>
      <c r="E24" s="187"/>
      <c r="F24" s="187"/>
      <c r="G24" s="187"/>
      <c r="H24" s="10"/>
      <c r="I24" s="10"/>
    </row>
    <row r="25" spans="1:30">
      <c r="A25" s="180"/>
      <c r="B25" s="180"/>
      <c r="C25" s="180"/>
      <c r="D25" s="180"/>
      <c r="E25" s="180"/>
      <c r="F25" s="180"/>
      <c r="G25" s="180"/>
      <c r="H25" s="181"/>
      <c r="I25" s="181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</row>
    <row r="26" spans="1:30" ht="13.8" customHeight="1">
      <c r="A26" s="318" t="s">
        <v>217</v>
      </c>
      <c r="B26" s="318"/>
      <c r="C26" s="307"/>
      <c r="D26" s="307"/>
      <c r="E26" s="241"/>
      <c r="F26" s="241"/>
      <c r="G26" s="241"/>
    </row>
    <row r="27" spans="1:30" ht="14.4" thickBot="1">
      <c r="A27" s="208"/>
      <c r="B27" s="208"/>
      <c r="C27" s="208"/>
      <c r="D27" s="208"/>
      <c r="E27" s="208"/>
      <c r="F27" s="208"/>
      <c r="G27" s="349" t="s">
        <v>127</v>
      </c>
      <c r="H27" s="349" t="s">
        <v>127</v>
      </c>
      <c r="I27" s="349"/>
      <c r="K27" s="208"/>
      <c r="L27" s="208"/>
      <c r="M27" s="208"/>
      <c r="N27" s="208"/>
      <c r="O27" s="208"/>
      <c r="P27" s="208"/>
      <c r="Q27" s="349" t="s">
        <v>238</v>
      </c>
      <c r="R27" s="349" t="s">
        <v>127</v>
      </c>
      <c r="S27" s="349"/>
    </row>
    <row r="28" spans="1:30">
      <c r="A28" s="209"/>
      <c r="B28" s="210">
        <v>2014</v>
      </c>
      <c r="C28" s="210">
        <v>2015</v>
      </c>
      <c r="D28" s="210">
        <v>2016</v>
      </c>
      <c r="E28" s="210">
        <v>2017</v>
      </c>
      <c r="F28" s="210">
        <v>2018</v>
      </c>
      <c r="G28" s="210">
        <v>2019</v>
      </c>
      <c r="H28" s="210">
        <v>2020</v>
      </c>
      <c r="I28" s="211">
        <v>2021</v>
      </c>
      <c r="K28" s="209"/>
      <c r="L28" s="210">
        <v>2014</v>
      </c>
      <c r="M28" s="210">
        <v>2015</v>
      </c>
      <c r="N28" s="210">
        <v>2016</v>
      </c>
      <c r="O28" s="210">
        <v>2017</v>
      </c>
      <c r="P28" s="210">
        <v>2018</v>
      </c>
      <c r="Q28" s="210">
        <v>2019</v>
      </c>
      <c r="R28" s="210">
        <v>2020</v>
      </c>
      <c r="S28" s="211">
        <v>2021</v>
      </c>
    </row>
    <row r="29" spans="1:30" ht="14.4" customHeight="1">
      <c r="A29" s="200" t="s">
        <v>187</v>
      </c>
      <c r="B29" s="212">
        <v>1502306</v>
      </c>
      <c r="C29" s="212">
        <v>1935159</v>
      </c>
      <c r="D29" s="212">
        <v>2218804</v>
      </c>
      <c r="E29" s="212">
        <v>2658587</v>
      </c>
      <c r="F29" s="212">
        <v>3019738</v>
      </c>
      <c r="G29" s="212">
        <v>3344284</v>
      </c>
      <c r="H29" s="212">
        <v>3584628</v>
      </c>
      <c r="I29" s="213">
        <v>5023098</v>
      </c>
      <c r="K29" s="200" t="s">
        <v>187</v>
      </c>
      <c r="L29" s="212">
        <f t="shared" ref="L29:S31" si="25">B29/1000</f>
        <v>1502.306</v>
      </c>
      <c r="M29" s="212">
        <f t="shared" si="25"/>
        <v>1935.1590000000001</v>
      </c>
      <c r="N29" s="212">
        <f t="shared" si="25"/>
        <v>2218.8040000000001</v>
      </c>
      <c r="O29" s="212">
        <f t="shared" si="25"/>
        <v>2658.587</v>
      </c>
      <c r="P29" s="212">
        <f t="shared" si="25"/>
        <v>3019.7379999999998</v>
      </c>
      <c r="Q29" s="212">
        <f t="shared" si="25"/>
        <v>3344.2840000000001</v>
      </c>
      <c r="R29" s="212">
        <f t="shared" si="25"/>
        <v>3584.6280000000002</v>
      </c>
      <c r="S29" s="212">
        <f t="shared" si="25"/>
        <v>5023.098</v>
      </c>
    </row>
    <row r="30" spans="1:30">
      <c r="A30" s="200" t="s">
        <v>188</v>
      </c>
      <c r="B30" s="212">
        <v>2018781</v>
      </c>
      <c r="C30" s="212">
        <v>2564838</v>
      </c>
      <c r="D30" s="212">
        <v>3110435</v>
      </c>
      <c r="E30" s="212">
        <v>3850986</v>
      </c>
      <c r="F30" s="212">
        <v>5997843</v>
      </c>
      <c r="G30" s="212">
        <v>7471511</v>
      </c>
      <c r="H30" s="212">
        <v>9327690</v>
      </c>
      <c r="I30" s="213">
        <v>13035305</v>
      </c>
      <c r="K30" s="200" t="s">
        <v>188</v>
      </c>
      <c r="L30" s="212">
        <f t="shared" si="25"/>
        <v>2018.7809999999999</v>
      </c>
      <c r="M30" s="212">
        <f t="shared" si="25"/>
        <v>2564.8380000000002</v>
      </c>
      <c r="N30" s="212">
        <f t="shared" si="25"/>
        <v>3110.4349999999999</v>
      </c>
      <c r="O30" s="212">
        <f t="shared" si="25"/>
        <v>3850.9859999999999</v>
      </c>
      <c r="P30" s="212">
        <f t="shared" si="25"/>
        <v>5997.8429999999998</v>
      </c>
      <c r="Q30" s="212">
        <f t="shared" si="25"/>
        <v>7471.5110000000004</v>
      </c>
      <c r="R30" s="212">
        <f t="shared" si="25"/>
        <v>9327.69</v>
      </c>
      <c r="S30" s="212">
        <f t="shared" si="25"/>
        <v>13035.305</v>
      </c>
    </row>
    <row r="31" spans="1:30">
      <c r="A31" s="200" t="s">
        <v>189</v>
      </c>
      <c r="B31" s="212">
        <v>2169968</v>
      </c>
      <c r="C31" s="212">
        <v>2780246</v>
      </c>
      <c r="D31" s="212">
        <v>2981301</v>
      </c>
      <c r="E31" s="212">
        <v>2902629</v>
      </c>
      <c r="F31" s="212">
        <v>3937713</v>
      </c>
      <c r="G31" s="212">
        <v>4536840</v>
      </c>
      <c r="H31" s="212">
        <v>4504291</v>
      </c>
      <c r="I31" s="213">
        <v>6382801</v>
      </c>
      <c r="K31" s="200" t="s">
        <v>189</v>
      </c>
      <c r="L31" s="212">
        <f t="shared" si="25"/>
        <v>2169.9679999999998</v>
      </c>
      <c r="M31" s="212">
        <f t="shared" si="25"/>
        <v>2780.2460000000001</v>
      </c>
      <c r="N31" s="212">
        <f t="shared" si="25"/>
        <v>2981.3009999999999</v>
      </c>
      <c r="O31" s="212">
        <f t="shared" si="25"/>
        <v>2902.6289999999999</v>
      </c>
      <c r="P31" s="212">
        <f t="shared" si="25"/>
        <v>3937.7130000000002</v>
      </c>
      <c r="Q31" s="212">
        <f t="shared" si="25"/>
        <v>4536.84</v>
      </c>
      <c r="R31" s="212">
        <f t="shared" si="25"/>
        <v>4504.2910000000002</v>
      </c>
      <c r="S31" s="212">
        <f t="shared" si="25"/>
        <v>6382.8010000000004</v>
      </c>
    </row>
    <row r="32" spans="1:30">
      <c r="A32" s="200" t="s">
        <v>190</v>
      </c>
      <c r="B32" s="212"/>
      <c r="C32" s="212"/>
      <c r="D32" s="212">
        <v>390742</v>
      </c>
      <c r="E32" s="212">
        <v>981392</v>
      </c>
      <c r="F32" s="212">
        <v>2090557</v>
      </c>
      <c r="G32" s="212">
        <v>3594457</v>
      </c>
      <c r="H32" s="212">
        <v>4191345</v>
      </c>
      <c r="I32" s="213">
        <v>6259916</v>
      </c>
      <c r="K32" s="200" t="s">
        <v>190</v>
      </c>
      <c r="L32" s="212"/>
      <c r="M32" s="303"/>
      <c r="N32" s="303">
        <f t="shared" ref="N32:S33" si="26">D32/1000</f>
        <v>390.74200000000002</v>
      </c>
      <c r="O32" s="303">
        <f t="shared" si="26"/>
        <v>981.39200000000005</v>
      </c>
      <c r="P32" s="303">
        <f t="shared" si="26"/>
        <v>2090.5569999999998</v>
      </c>
      <c r="Q32" s="303">
        <f t="shared" si="26"/>
        <v>3594.4569999999999</v>
      </c>
      <c r="R32" s="212">
        <f t="shared" si="26"/>
        <v>4191.3450000000003</v>
      </c>
      <c r="S32" s="212">
        <f t="shared" si="26"/>
        <v>6259.9160000000002</v>
      </c>
    </row>
    <row r="33" spans="1:30">
      <c r="A33" s="200" t="s">
        <v>191</v>
      </c>
      <c r="B33" s="212"/>
      <c r="C33" s="212"/>
      <c r="D33" s="212"/>
      <c r="E33" s="212">
        <v>699371</v>
      </c>
      <c r="F33" s="212">
        <v>1718762</v>
      </c>
      <c r="G33" s="212">
        <v>2323643</v>
      </c>
      <c r="H33" s="212">
        <v>3031096</v>
      </c>
      <c r="I33" s="213">
        <v>5165347</v>
      </c>
      <c r="K33" s="200" t="s">
        <v>191</v>
      </c>
      <c r="L33" s="212"/>
      <c r="M33" s="303"/>
      <c r="N33" s="303"/>
      <c r="O33" s="303">
        <f t="shared" si="26"/>
        <v>699.37099999999998</v>
      </c>
      <c r="P33" s="303">
        <f t="shared" si="26"/>
        <v>1718.7619999999999</v>
      </c>
      <c r="Q33" s="303">
        <f t="shared" si="26"/>
        <v>2323.643</v>
      </c>
      <c r="R33" s="212">
        <f t="shared" si="26"/>
        <v>3031.096</v>
      </c>
      <c r="S33" s="212">
        <f t="shared" si="26"/>
        <v>5165.3469999999998</v>
      </c>
    </row>
    <row r="34" spans="1:30" ht="14.4" thickBot="1">
      <c r="A34" s="222" t="s">
        <v>192</v>
      </c>
      <c r="B34" s="212"/>
      <c r="C34" s="212"/>
      <c r="D34" s="212"/>
      <c r="E34" s="212"/>
      <c r="F34" s="212"/>
      <c r="G34" s="212"/>
      <c r="H34" s="212">
        <v>999620</v>
      </c>
      <c r="I34" s="213">
        <v>2329202</v>
      </c>
      <c r="K34" s="222" t="s">
        <v>192</v>
      </c>
      <c r="L34" s="212"/>
      <c r="M34" s="303"/>
      <c r="N34" s="303"/>
      <c r="O34" s="303"/>
      <c r="P34" s="303"/>
      <c r="Q34" s="303"/>
      <c r="R34" s="212">
        <f>H34/1000</f>
        <v>999.62</v>
      </c>
      <c r="S34" s="212">
        <f>I34/1000</f>
        <v>2329.2020000000002</v>
      </c>
    </row>
    <row r="35" spans="1:30">
      <c r="A35" s="201" t="s">
        <v>0</v>
      </c>
      <c r="B35" s="203">
        <f>SUM(B29:B34)</f>
        <v>5691055</v>
      </c>
      <c r="C35" s="203">
        <f t="shared" ref="C35:H35" si="27">SUM(C29:C34)</f>
        <v>7280243</v>
      </c>
      <c r="D35" s="203">
        <f t="shared" si="27"/>
        <v>8701282</v>
      </c>
      <c r="E35" s="203">
        <f t="shared" si="27"/>
        <v>11092965</v>
      </c>
      <c r="F35" s="203">
        <f t="shared" si="27"/>
        <v>16764613</v>
      </c>
      <c r="G35" s="203">
        <f t="shared" si="27"/>
        <v>21270735</v>
      </c>
      <c r="H35" s="203">
        <f t="shared" si="27"/>
        <v>25638670</v>
      </c>
      <c r="I35" s="204">
        <f>SUM(I29:I34)</f>
        <v>38195669</v>
      </c>
      <c r="K35" s="201" t="s">
        <v>0</v>
      </c>
      <c r="L35" s="203">
        <f>SUM(L29:L34)</f>
        <v>5691.0550000000003</v>
      </c>
      <c r="M35" s="203">
        <f t="shared" ref="M35:R35" si="28">SUM(M29:M34)</f>
        <v>7280.2430000000004</v>
      </c>
      <c r="N35" s="203">
        <f t="shared" si="28"/>
        <v>8701.2819999999992</v>
      </c>
      <c r="O35" s="203">
        <f t="shared" si="28"/>
        <v>11092.965</v>
      </c>
      <c r="P35" s="203">
        <f t="shared" si="28"/>
        <v>16764.612999999998</v>
      </c>
      <c r="Q35" s="203">
        <f t="shared" si="28"/>
        <v>21270.735000000001</v>
      </c>
      <c r="R35" s="203">
        <f t="shared" si="28"/>
        <v>25638.670000000002</v>
      </c>
      <c r="S35" s="204">
        <f>SUM(S29:S34)</f>
        <v>38195.668999999994</v>
      </c>
    </row>
    <row r="36" spans="1:30" ht="14.4" thickBot="1">
      <c r="A36" s="202" t="s">
        <v>129</v>
      </c>
      <c r="B36" s="205"/>
      <c r="C36" s="206">
        <f>(C35/B35)-1</f>
        <v>0.27924312803162166</v>
      </c>
      <c r="D36" s="206">
        <f t="shared" ref="D36:I36" si="29">(D35/C35)-1</f>
        <v>0.19519114952619021</v>
      </c>
      <c r="E36" s="206">
        <f t="shared" si="29"/>
        <v>0.2748655887718614</v>
      </c>
      <c r="F36" s="206">
        <f t="shared" si="29"/>
        <v>0.51128332235790874</v>
      </c>
      <c r="G36" s="206">
        <f t="shared" si="29"/>
        <v>0.26878771373964905</v>
      </c>
      <c r="H36" s="206">
        <f t="shared" si="29"/>
        <v>0.20534950954915288</v>
      </c>
      <c r="I36" s="207">
        <f t="shared" si="29"/>
        <v>0.48976795598211598</v>
      </c>
      <c r="K36" s="202" t="s">
        <v>129</v>
      </c>
      <c r="L36" s="205"/>
      <c r="M36" s="206">
        <f>(M35/L35)-1</f>
        <v>0.27924312803162166</v>
      </c>
      <c r="N36" s="206">
        <f t="shared" ref="N36" si="30">(N35/M35)-1</f>
        <v>0.19519114952618999</v>
      </c>
      <c r="O36" s="206">
        <f t="shared" ref="O36" si="31">(O35/N35)-1</f>
        <v>0.27486558877186162</v>
      </c>
      <c r="P36" s="206">
        <f t="shared" ref="P36" si="32">(P35/O35)-1</f>
        <v>0.51128332235790852</v>
      </c>
      <c r="Q36" s="206">
        <f t="shared" ref="Q36" si="33">(Q35/P35)-1</f>
        <v>0.26878771373964927</v>
      </c>
      <c r="R36" s="206">
        <f t="shared" ref="R36" si="34">(R35/Q35)-1</f>
        <v>0.20534950954915288</v>
      </c>
      <c r="S36" s="207">
        <f t="shared" ref="S36" si="35">(S35/R35)-1</f>
        <v>0.48976795598211575</v>
      </c>
    </row>
    <row r="37" spans="1:30" ht="27" thickBot="1">
      <c r="A37" s="249" t="s">
        <v>169</v>
      </c>
      <c r="B37" s="214">
        <v>134785734</v>
      </c>
      <c r="C37" s="214">
        <v>159266552</v>
      </c>
      <c r="D37" s="214">
        <v>189309104</v>
      </c>
      <c r="E37" s="214">
        <v>239871183</v>
      </c>
      <c r="F37" s="214">
        <v>355954181</v>
      </c>
      <c r="G37" s="214">
        <v>404540606.76629996</v>
      </c>
      <c r="H37" s="214">
        <v>403433659</v>
      </c>
      <c r="I37" s="215">
        <v>608186002</v>
      </c>
      <c r="K37" s="249" t="s">
        <v>169</v>
      </c>
      <c r="L37" s="214">
        <f t="shared" ref="L37:S37" si="36">B37/1000</f>
        <v>134785.734</v>
      </c>
      <c r="M37" s="214">
        <f t="shared" si="36"/>
        <v>159266.552</v>
      </c>
      <c r="N37" s="214">
        <f t="shared" si="36"/>
        <v>189309.10399999999</v>
      </c>
      <c r="O37" s="214">
        <f t="shared" si="36"/>
        <v>239871.18299999999</v>
      </c>
      <c r="P37" s="214">
        <f t="shared" si="36"/>
        <v>355954.18099999998</v>
      </c>
      <c r="Q37" s="214">
        <f t="shared" si="36"/>
        <v>404540.60676629998</v>
      </c>
      <c r="R37" s="214">
        <f t="shared" si="36"/>
        <v>403433.65899999999</v>
      </c>
      <c r="S37" s="214">
        <f t="shared" si="36"/>
        <v>608186.00199999998</v>
      </c>
    </row>
    <row r="38" spans="1:30" ht="14.4" thickBot="1">
      <c r="A38" s="202" t="s">
        <v>129</v>
      </c>
      <c r="B38" s="205"/>
      <c r="C38" s="206">
        <f>(C37/B37)-1</f>
        <v>0.18162766394847107</v>
      </c>
      <c r="D38" s="206">
        <f t="shared" ref="D38" si="37">(D37/C37)-1</f>
        <v>0.18863064229581616</v>
      </c>
      <c r="E38" s="206">
        <f t="shared" ref="E38" si="38">(E37/D37)-1</f>
        <v>0.26708741382030943</v>
      </c>
      <c r="F38" s="206">
        <f t="shared" ref="F38" si="39">(F37/E37)-1</f>
        <v>0.48393890649215665</v>
      </c>
      <c r="G38" s="206">
        <f t="shared" ref="G38" si="40">(G37/F37)-1</f>
        <v>0.13649629182554812</v>
      </c>
      <c r="H38" s="259">
        <f t="shared" ref="H38" si="41">(H37/G37)-1</f>
        <v>-2.7363081673020817E-3</v>
      </c>
      <c r="I38" s="207">
        <f t="shared" ref="I38" si="42">(I37/H37)-1</f>
        <v>0.50752419495072432</v>
      </c>
      <c r="K38" s="202" t="s">
        <v>129</v>
      </c>
      <c r="L38" s="205"/>
      <c r="M38" s="206">
        <f>(M37/L37)-1</f>
        <v>0.18162766394847107</v>
      </c>
      <c r="N38" s="206">
        <f t="shared" ref="N38" si="43">(N37/M37)-1</f>
        <v>0.18863064229581616</v>
      </c>
      <c r="O38" s="206">
        <f t="shared" ref="O38" si="44">(O37/N37)-1</f>
        <v>0.26708741382030943</v>
      </c>
      <c r="P38" s="206">
        <f t="shared" ref="P38" si="45">(P37/O37)-1</f>
        <v>0.48393890649215665</v>
      </c>
      <c r="Q38" s="206">
        <f t="shared" ref="Q38" si="46">(Q37/P37)-1</f>
        <v>0.13649629182554812</v>
      </c>
      <c r="R38" s="259">
        <f t="shared" ref="R38" si="47">(R37/Q37)-1</f>
        <v>-2.7363081673021927E-3</v>
      </c>
      <c r="S38" s="207">
        <f t="shared" ref="S38" si="48">(S37/R37)-1</f>
        <v>0.50752419495072432</v>
      </c>
    </row>
    <row r="39" spans="1:30">
      <c r="A39" s="199"/>
      <c r="B39" s="199"/>
      <c r="C39" s="199"/>
      <c r="D39" s="199"/>
      <c r="E39" s="199"/>
      <c r="F39" s="199"/>
      <c r="G39" s="199"/>
      <c r="H39" s="10"/>
      <c r="I39" s="10"/>
    </row>
    <row r="40" spans="1:30">
      <c r="A40" s="180"/>
      <c r="B40" s="180"/>
      <c r="C40" s="180"/>
      <c r="D40" s="180"/>
      <c r="E40" s="180"/>
      <c r="F40" s="180"/>
      <c r="G40" s="180"/>
      <c r="H40" s="181"/>
      <c r="I40" s="181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79"/>
      <c r="U40" s="179"/>
      <c r="V40" s="179"/>
      <c r="W40" s="179"/>
      <c r="X40" s="179"/>
      <c r="Y40" s="179"/>
      <c r="Z40" s="179"/>
      <c r="AA40" s="179"/>
      <c r="AB40" s="179"/>
      <c r="AC40" s="179"/>
      <c r="AD40" s="179"/>
    </row>
    <row r="41" spans="1:30">
      <c r="A41" s="318" t="s">
        <v>220</v>
      </c>
      <c r="B41" s="318"/>
      <c r="C41" s="318"/>
      <c r="D41" s="318"/>
      <c r="E41" s="241"/>
      <c r="F41" s="241"/>
      <c r="G41" s="241"/>
    </row>
    <row r="42" spans="1:30" ht="14.4" customHeight="1" thickBot="1">
      <c r="A42"/>
      <c r="B42"/>
      <c r="C42"/>
      <c r="D42"/>
      <c r="E42"/>
      <c r="F42"/>
      <c r="G42"/>
      <c r="H42" s="347" t="s">
        <v>128</v>
      </c>
      <c r="I42" s="347" t="s">
        <v>128</v>
      </c>
      <c r="J42" s="347"/>
      <c r="K42"/>
    </row>
    <row r="43" spans="1:30">
      <c r="A43" s="209"/>
      <c r="B43" s="210">
        <v>2014</v>
      </c>
      <c r="C43" s="210">
        <v>2015</v>
      </c>
      <c r="D43" s="210">
        <v>2016</v>
      </c>
      <c r="E43" s="210">
        <v>2017</v>
      </c>
      <c r="F43" s="210">
        <v>2018</v>
      </c>
      <c r="G43" s="210">
        <v>2019</v>
      </c>
      <c r="H43" s="210">
        <v>2020</v>
      </c>
      <c r="I43" s="216">
        <v>2021</v>
      </c>
      <c r="J43" s="217" t="s">
        <v>124</v>
      </c>
      <c r="K43" s="217" t="s">
        <v>125</v>
      </c>
    </row>
    <row r="44" spans="1:30" ht="14.4">
      <c r="A44" s="200" t="s">
        <v>187</v>
      </c>
      <c r="B44" s="218">
        <f t="shared" ref="B44:I46" si="49">B14/B29</f>
        <v>0.53473260440948778</v>
      </c>
      <c r="C44" s="218">
        <f t="shared" si="49"/>
        <v>0.54232132863501137</v>
      </c>
      <c r="D44" s="218">
        <f t="shared" si="49"/>
        <v>0.5386622703041819</v>
      </c>
      <c r="E44" s="218">
        <f t="shared" si="49"/>
        <v>0.5231305200845412</v>
      </c>
      <c r="F44" s="218">
        <f t="shared" si="49"/>
        <v>0.66236839090013766</v>
      </c>
      <c r="G44" s="218">
        <f t="shared" si="49"/>
        <v>0.75383968586399963</v>
      </c>
      <c r="H44" s="218">
        <f t="shared" si="49"/>
        <v>0.52418493634485919</v>
      </c>
      <c r="I44" s="219">
        <f t="shared" si="49"/>
        <v>0.66288493674620719</v>
      </c>
      <c r="J44" s="234">
        <f>AVERAGE(B44:I44)</f>
        <v>0.59276558416105318</v>
      </c>
      <c r="K44" s="221">
        <v>3</v>
      </c>
    </row>
    <row r="45" spans="1:30" ht="14.4">
      <c r="A45" s="200" t="s">
        <v>188</v>
      </c>
      <c r="B45" s="218">
        <f t="shared" si="49"/>
        <v>0.43469152919509346</v>
      </c>
      <c r="C45" s="218">
        <f t="shared" si="49"/>
        <v>0.4273275739052525</v>
      </c>
      <c r="D45" s="218">
        <f t="shared" si="49"/>
        <v>0.46313972161450084</v>
      </c>
      <c r="E45" s="218">
        <f t="shared" si="49"/>
        <v>0.44580089358933012</v>
      </c>
      <c r="F45" s="218">
        <f t="shared" si="49"/>
        <v>0.47517966042125476</v>
      </c>
      <c r="G45" s="218">
        <f t="shared" si="49"/>
        <v>0.53210120416071127</v>
      </c>
      <c r="H45" s="218">
        <f t="shared" si="49"/>
        <v>0.33433937019776599</v>
      </c>
      <c r="I45" s="219">
        <f t="shared" si="49"/>
        <v>0.41463264572635622</v>
      </c>
      <c r="J45" s="234">
        <f t="shared" ref="J45:J50" si="50">AVERAGE(B45:I45)</f>
        <v>0.44090157485128312</v>
      </c>
      <c r="K45" s="221">
        <v>2</v>
      </c>
    </row>
    <row r="46" spans="1:30" ht="14.4" customHeight="1">
      <c r="A46" s="200" t="s">
        <v>189</v>
      </c>
      <c r="B46" s="218">
        <f t="shared" si="49"/>
        <v>0.49407917536111129</v>
      </c>
      <c r="C46" s="218">
        <f t="shared" si="49"/>
        <v>0.4949144787907257</v>
      </c>
      <c r="D46" s="218">
        <f t="shared" si="49"/>
        <v>0.49366434318440172</v>
      </c>
      <c r="E46" s="218">
        <f t="shared" si="49"/>
        <v>0.49995814139526618</v>
      </c>
      <c r="F46" s="218">
        <f t="shared" si="49"/>
        <v>0.55663960273387114</v>
      </c>
      <c r="G46" s="218">
        <f t="shared" si="49"/>
        <v>0.57220466227594535</v>
      </c>
      <c r="H46" s="218">
        <f t="shared" si="49"/>
        <v>0.44905957452571338</v>
      </c>
      <c r="I46" s="219">
        <f t="shared" si="49"/>
        <v>0.62027924730850925</v>
      </c>
      <c r="J46" s="234">
        <f t="shared" si="50"/>
        <v>0.52259990319694305</v>
      </c>
      <c r="K46" s="221">
        <v>3</v>
      </c>
    </row>
    <row r="47" spans="1:30" ht="14.4">
      <c r="A47" s="200" t="s">
        <v>190</v>
      </c>
      <c r="B47" s="218"/>
      <c r="C47" s="305"/>
      <c r="D47" s="305">
        <f t="shared" ref="D47:I47" si="51">D17/D32</f>
        <v>0.53707305587830334</v>
      </c>
      <c r="E47" s="305">
        <f t="shared" si="51"/>
        <v>0.54851272478275759</v>
      </c>
      <c r="F47" s="305">
        <f t="shared" si="51"/>
        <v>0.63127817131989228</v>
      </c>
      <c r="G47" s="305">
        <f t="shared" si="51"/>
        <v>0.61915666260578439</v>
      </c>
      <c r="H47" s="218">
        <f t="shared" si="51"/>
        <v>0.50647393617084735</v>
      </c>
      <c r="I47" s="219">
        <f t="shared" si="51"/>
        <v>0.7580576161085868</v>
      </c>
      <c r="J47" s="234">
        <f t="shared" si="50"/>
        <v>0.60009202781102855</v>
      </c>
      <c r="K47" s="221">
        <v>4</v>
      </c>
    </row>
    <row r="48" spans="1:30" ht="14.4">
      <c r="A48" s="200" t="s">
        <v>191</v>
      </c>
      <c r="B48" s="218"/>
      <c r="C48" s="305"/>
      <c r="D48" s="305"/>
      <c r="E48" s="305">
        <f t="shared" ref="E48:I48" si="52">E18/E33</f>
        <v>0.62645148283243091</v>
      </c>
      <c r="F48" s="305">
        <f t="shared" si="52"/>
        <v>0.64306285570660748</v>
      </c>
      <c r="G48" s="305">
        <f t="shared" si="52"/>
        <v>0.70729841029796747</v>
      </c>
      <c r="H48" s="218">
        <f t="shared" si="52"/>
        <v>0.44372299656625852</v>
      </c>
      <c r="I48" s="219">
        <f t="shared" si="52"/>
        <v>0.57564787031732811</v>
      </c>
      <c r="J48" s="234">
        <f t="shared" si="50"/>
        <v>0.59923672314411847</v>
      </c>
      <c r="K48" s="221">
        <v>3</v>
      </c>
    </row>
    <row r="49" spans="1:30" ht="15" thickBot="1">
      <c r="A49" s="222" t="s">
        <v>192</v>
      </c>
      <c r="B49" s="223"/>
      <c r="C49" s="306"/>
      <c r="D49" s="306"/>
      <c r="E49" s="306"/>
      <c r="F49" s="306"/>
      <c r="G49" s="306"/>
      <c r="H49" s="223">
        <f>H19/H34</f>
        <v>0.37175426662131611</v>
      </c>
      <c r="I49" s="224">
        <f>I19/I34</f>
        <v>0.22856969897844842</v>
      </c>
      <c r="J49" s="235">
        <f t="shared" si="50"/>
        <v>0.30016198279988227</v>
      </c>
      <c r="K49" s="226">
        <v>2</v>
      </c>
    </row>
    <row r="50" spans="1:30" ht="26.4">
      <c r="A50" s="229" t="s">
        <v>169</v>
      </c>
      <c r="B50" s="230">
        <f>B22/B37</f>
        <v>0.51856450920837072</v>
      </c>
      <c r="C50" s="230">
        <f t="shared" ref="C50:I50" si="53">C22/C37</f>
        <v>0.52256728079352155</v>
      </c>
      <c r="D50" s="230">
        <f t="shared" si="53"/>
        <v>0.52424817878806296</v>
      </c>
      <c r="E50" s="230">
        <f t="shared" si="53"/>
        <v>0.53573919715066398</v>
      </c>
      <c r="F50" s="230">
        <f t="shared" si="53"/>
        <v>0.59882593990376531</v>
      </c>
      <c r="G50" s="230">
        <f t="shared" si="53"/>
        <v>0.6060284206317732</v>
      </c>
      <c r="H50" s="230">
        <f t="shared" si="53"/>
        <v>0.49058693191487029</v>
      </c>
      <c r="I50" s="230">
        <f t="shared" si="53"/>
        <v>0.58078838190688908</v>
      </c>
      <c r="J50" s="230">
        <f t="shared" si="50"/>
        <v>0.54716860503723963</v>
      </c>
      <c r="K50" s="233"/>
    </row>
    <row r="52" spans="1:30">
      <c r="A52" s="180"/>
      <c r="B52" s="180"/>
      <c r="C52" s="180"/>
      <c r="D52" s="180"/>
      <c r="E52" s="180"/>
      <c r="F52" s="180"/>
      <c r="G52" s="180"/>
      <c r="H52" s="181"/>
      <c r="I52" s="181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79"/>
      <c r="AA52" s="179"/>
      <c r="AB52" s="179"/>
      <c r="AC52" s="179"/>
      <c r="AD52" s="179"/>
    </row>
    <row r="53" spans="1:30" s="16" customFormat="1">
      <c r="A53" s="318" t="s">
        <v>221</v>
      </c>
      <c r="B53" s="318"/>
      <c r="C53" s="318"/>
      <c r="D53" s="318"/>
      <c r="E53" s="258"/>
      <c r="F53" s="258"/>
      <c r="G53" s="258"/>
    </row>
    <row r="54" spans="1:30" s="16" customFormat="1" ht="14.4" thickBot="1">
      <c r="A54" s="208"/>
      <c r="B54" s="208"/>
      <c r="C54" s="208"/>
      <c r="D54" s="208"/>
      <c r="E54" s="208"/>
      <c r="F54" s="208"/>
      <c r="G54" s="349" t="s">
        <v>127</v>
      </c>
      <c r="H54" s="349" t="s">
        <v>127</v>
      </c>
      <c r="I54" s="349"/>
      <c r="Q54" s="349" t="s">
        <v>238</v>
      </c>
      <c r="R54" s="349" t="s">
        <v>127</v>
      </c>
      <c r="S54" s="349"/>
    </row>
    <row r="55" spans="1:30" s="16" customFormat="1">
      <c r="A55" s="209"/>
      <c r="B55" s="210">
        <v>2014</v>
      </c>
      <c r="C55" s="210">
        <v>2015</v>
      </c>
      <c r="D55" s="210">
        <v>2016</v>
      </c>
      <c r="E55" s="210">
        <v>2017</v>
      </c>
      <c r="F55" s="210">
        <v>2018</v>
      </c>
      <c r="G55" s="210">
        <v>2019</v>
      </c>
      <c r="H55" s="210">
        <v>2020</v>
      </c>
      <c r="I55" s="211">
        <v>2021</v>
      </c>
      <c r="K55" s="209"/>
      <c r="L55" s="210">
        <v>2014</v>
      </c>
      <c r="M55" s="210">
        <v>2015</v>
      </c>
      <c r="N55" s="210">
        <v>2016</v>
      </c>
      <c r="O55" s="210">
        <v>2017</v>
      </c>
      <c r="P55" s="210">
        <v>2018</v>
      </c>
      <c r="Q55" s="210">
        <v>2019</v>
      </c>
      <c r="R55" s="210">
        <v>2020</v>
      </c>
      <c r="S55" s="211">
        <v>2021</v>
      </c>
    </row>
    <row r="56" spans="1:30" s="16" customFormat="1">
      <c r="A56" s="200" t="s">
        <v>210</v>
      </c>
      <c r="B56" s="212">
        <v>325552</v>
      </c>
      <c r="C56" s="212">
        <v>376778</v>
      </c>
      <c r="D56" s="212">
        <v>263920</v>
      </c>
      <c r="E56" s="212">
        <v>288800</v>
      </c>
      <c r="F56" s="212">
        <v>168495</v>
      </c>
      <c r="G56" s="212">
        <v>87293</v>
      </c>
      <c r="H56" s="212">
        <v>323735</v>
      </c>
      <c r="I56" s="213">
        <v>81442</v>
      </c>
      <c r="K56" s="200" t="s">
        <v>210</v>
      </c>
      <c r="L56" s="212">
        <f t="shared" ref="L56:S58" si="54">B56/1000</f>
        <v>325.55200000000002</v>
      </c>
      <c r="M56" s="212">
        <f t="shared" si="54"/>
        <v>376.77800000000002</v>
      </c>
      <c r="N56" s="212">
        <f t="shared" si="54"/>
        <v>263.92</v>
      </c>
      <c r="O56" s="212">
        <f t="shared" si="54"/>
        <v>288.8</v>
      </c>
      <c r="P56" s="212">
        <f t="shared" si="54"/>
        <v>168.495</v>
      </c>
      <c r="Q56" s="212">
        <f t="shared" si="54"/>
        <v>87.293000000000006</v>
      </c>
      <c r="R56" s="212">
        <f t="shared" si="54"/>
        <v>323.73500000000001</v>
      </c>
      <c r="S56" s="212">
        <f t="shared" si="54"/>
        <v>81.441999999999993</v>
      </c>
    </row>
    <row r="57" spans="1:30" s="16" customFormat="1">
      <c r="A57" s="200" t="s">
        <v>211</v>
      </c>
      <c r="B57" s="212">
        <v>462739</v>
      </c>
      <c r="C57" s="212">
        <v>553476</v>
      </c>
      <c r="D57" s="212">
        <v>663212</v>
      </c>
      <c r="E57" s="212">
        <v>848933</v>
      </c>
      <c r="F57" s="212">
        <v>1126057</v>
      </c>
      <c r="G57" s="212">
        <v>1415267</v>
      </c>
      <c r="H57" s="212">
        <v>1852683</v>
      </c>
      <c r="I57" s="213">
        <v>3547366</v>
      </c>
      <c r="K57" s="200" t="s">
        <v>211</v>
      </c>
      <c r="L57" s="212">
        <f t="shared" si="54"/>
        <v>462.73899999999998</v>
      </c>
      <c r="M57" s="212">
        <f t="shared" si="54"/>
        <v>553.476</v>
      </c>
      <c r="N57" s="212">
        <f t="shared" si="54"/>
        <v>663.21199999999999</v>
      </c>
      <c r="O57" s="212">
        <f t="shared" si="54"/>
        <v>848.93299999999999</v>
      </c>
      <c r="P57" s="212">
        <f t="shared" si="54"/>
        <v>1126.057</v>
      </c>
      <c r="Q57" s="212">
        <f t="shared" si="54"/>
        <v>1415.2670000000001</v>
      </c>
      <c r="R57" s="212">
        <f t="shared" si="54"/>
        <v>1852.683</v>
      </c>
      <c r="S57" s="212">
        <f t="shared" si="54"/>
        <v>3547.366</v>
      </c>
    </row>
    <row r="58" spans="1:30" s="16" customFormat="1">
      <c r="A58" s="200" t="s">
        <v>212</v>
      </c>
      <c r="B58" s="212">
        <v>425285</v>
      </c>
      <c r="C58" s="212">
        <v>332825</v>
      </c>
      <c r="D58" s="212">
        <v>369075</v>
      </c>
      <c r="E58" s="212">
        <v>457642</v>
      </c>
      <c r="F58" s="212">
        <v>569450</v>
      </c>
      <c r="G58" s="212">
        <v>477153</v>
      </c>
      <c r="H58" s="212">
        <v>872786</v>
      </c>
      <c r="I58" s="213">
        <v>1209138</v>
      </c>
      <c r="K58" s="200" t="s">
        <v>212</v>
      </c>
      <c r="L58" s="212">
        <f t="shared" si="54"/>
        <v>425.28500000000003</v>
      </c>
      <c r="M58" s="212">
        <f t="shared" si="54"/>
        <v>332.82499999999999</v>
      </c>
      <c r="N58" s="212">
        <f t="shared" si="54"/>
        <v>369.07499999999999</v>
      </c>
      <c r="O58" s="212">
        <f t="shared" si="54"/>
        <v>457.642</v>
      </c>
      <c r="P58" s="212">
        <f t="shared" si="54"/>
        <v>569.45000000000005</v>
      </c>
      <c r="Q58" s="212">
        <f t="shared" si="54"/>
        <v>477.15300000000002</v>
      </c>
      <c r="R58" s="212">
        <f t="shared" si="54"/>
        <v>872.78599999999994</v>
      </c>
      <c r="S58" s="212">
        <f t="shared" si="54"/>
        <v>1209.1379999999999</v>
      </c>
    </row>
    <row r="59" spans="1:30" s="16" customFormat="1">
      <c r="A59" s="200" t="s">
        <v>213</v>
      </c>
      <c r="B59" s="212"/>
      <c r="C59" s="212"/>
      <c r="D59" s="212">
        <v>11708</v>
      </c>
      <c r="E59" s="212">
        <v>199974</v>
      </c>
      <c r="F59" s="212">
        <v>414549</v>
      </c>
      <c r="G59" s="212">
        <v>705300</v>
      </c>
      <c r="H59" s="212">
        <v>792482</v>
      </c>
      <c r="I59" s="213">
        <v>730171</v>
      </c>
      <c r="K59" s="200" t="s">
        <v>213</v>
      </c>
      <c r="L59" s="212"/>
      <c r="M59" s="303"/>
      <c r="N59" s="303">
        <f t="shared" ref="N59:S60" si="55">D59/1000</f>
        <v>11.708</v>
      </c>
      <c r="O59" s="303">
        <f t="shared" si="55"/>
        <v>199.97399999999999</v>
      </c>
      <c r="P59" s="303">
        <f t="shared" si="55"/>
        <v>414.54899999999998</v>
      </c>
      <c r="Q59" s="303">
        <f t="shared" si="55"/>
        <v>705.3</v>
      </c>
      <c r="R59" s="212">
        <f t="shared" si="55"/>
        <v>792.48199999999997</v>
      </c>
      <c r="S59" s="212">
        <f t="shared" si="55"/>
        <v>730.17100000000005</v>
      </c>
    </row>
    <row r="60" spans="1:30" s="16" customFormat="1">
      <c r="A60" s="200" t="s">
        <v>191</v>
      </c>
      <c r="B60" s="212"/>
      <c r="C60" s="212"/>
      <c r="D60" s="212"/>
      <c r="E60" s="212">
        <v>169882</v>
      </c>
      <c r="F60" s="212">
        <v>413987</v>
      </c>
      <c r="G60" s="212">
        <v>442126</v>
      </c>
      <c r="H60" s="212">
        <v>842246</v>
      </c>
      <c r="I60" s="213">
        <v>1665635</v>
      </c>
      <c r="K60" s="200" t="s">
        <v>191</v>
      </c>
      <c r="L60" s="212"/>
      <c r="M60" s="303"/>
      <c r="N60" s="303"/>
      <c r="O60" s="303">
        <f t="shared" si="55"/>
        <v>169.88200000000001</v>
      </c>
      <c r="P60" s="303">
        <f t="shared" si="55"/>
        <v>413.98700000000002</v>
      </c>
      <c r="Q60" s="303">
        <f t="shared" si="55"/>
        <v>442.12599999999998</v>
      </c>
      <c r="R60" s="212">
        <f t="shared" si="55"/>
        <v>842.24599999999998</v>
      </c>
      <c r="S60" s="212">
        <f t="shared" si="55"/>
        <v>1665.635</v>
      </c>
    </row>
    <row r="61" spans="1:30" s="16" customFormat="1" ht="14.4" thickBot="1">
      <c r="A61" s="222" t="s">
        <v>214</v>
      </c>
      <c r="B61" s="212"/>
      <c r="C61" s="212"/>
      <c r="D61" s="212"/>
      <c r="E61" s="212"/>
      <c r="F61" s="212"/>
      <c r="G61" s="212"/>
      <c r="H61" s="212">
        <v>104451</v>
      </c>
      <c r="I61" s="213">
        <v>187998</v>
      </c>
      <c r="K61" s="222" t="s">
        <v>214</v>
      </c>
      <c r="L61" s="212"/>
      <c r="M61" s="303"/>
      <c r="N61" s="303"/>
      <c r="O61" s="303"/>
      <c r="P61" s="303"/>
      <c r="Q61" s="303"/>
      <c r="R61" s="212">
        <f>H61/1000</f>
        <v>104.45099999999999</v>
      </c>
      <c r="S61" s="212">
        <f>I61/1000</f>
        <v>187.99799999999999</v>
      </c>
    </row>
    <row r="62" spans="1:30" s="16" customFormat="1">
      <c r="A62" s="201" t="s">
        <v>0</v>
      </c>
      <c r="B62" s="203">
        <f>SUM(B56:B61)</f>
        <v>1213576</v>
      </c>
      <c r="C62" s="203">
        <f t="shared" ref="C62:H62" si="56">SUM(C56:C61)</f>
        <v>1263079</v>
      </c>
      <c r="D62" s="203">
        <f t="shared" si="56"/>
        <v>1307915</v>
      </c>
      <c r="E62" s="203">
        <f t="shared" si="56"/>
        <v>1965231</v>
      </c>
      <c r="F62" s="203">
        <f t="shared" si="56"/>
        <v>2692538</v>
      </c>
      <c r="G62" s="203">
        <f t="shared" si="56"/>
        <v>3127139</v>
      </c>
      <c r="H62" s="203">
        <f t="shared" si="56"/>
        <v>4788383</v>
      </c>
      <c r="I62" s="204">
        <f>SUM(I56:I61)</f>
        <v>7421750</v>
      </c>
      <c r="K62" s="201" t="s">
        <v>0</v>
      </c>
      <c r="L62" s="203">
        <f>SUM(L56:L61)</f>
        <v>1213.576</v>
      </c>
      <c r="M62" s="203">
        <f t="shared" ref="M62:R62" si="57">SUM(M56:M61)</f>
        <v>1263.079</v>
      </c>
      <c r="N62" s="203">
        <f t="shared" si="57"/>
        <v>1307.9150000000002</v>
      </c>
      <c r="O62" s="203">
        <f t="shared" si="57"/>
        <v>1965.231</v>
      </c>
      <c r="P62" s="203">
        <f t="shared" si="57"/>
        <v>2692.5380000000005</v>
      </c>
      <c r="Q62" s="203">
        <f t="shared" si="57"/>
        <v>3127.1390000000001</v>
      </c>
      <c r="R62" s="203">
        <f t="shared" si="57"/>
        <v>4788.3829999999998</v>
      </c>
      <c r="S62" s="204">
        <f>SUM(S56:S61)</f>
        <v>7421.75</v>
      </c>
    </row>
    <row r="63" spans="1:30" s="16" customFormat="1" ht="14.4" thickBot="1">
      <c r="A63" s="202" t="s">
        <v>129</v>
      </c>
      <c r="B63" s="205"/>
      <c r="C63" s="206">
        <f>(C62/B62)-1</f>
        <v>4.0791017620651626E-2</v>
      </c>
      <c r="D63" s="206">
        <f t="shared" ref="D63" si="58">(D62/C62)-1</f>
        <v>3.5497383774094837E-2</v>
      </c>
      <c r="E63" s="206">
        <f t="shared" ref="E63" si="59">(E62/D62)-1</f>
        <v>0.50256782741997763</v>
      </c>
      <c r="F63" s="206">
        <f t="shared" ref="F63" si="60">(F62/E62)-1</f>
        <v>0.37008728236019084</v>
      </c>
      <c r="G63" s="206">
        <f t="shared" ref="G63" si="61">(G62/F62)-1</f>
        <v>0.16140942114837387</v>
      </c>
      <c r="H63" s="206">
        <f t="shared" ref="H63" si="62">(H62/G62)-1</f>
        <v>0.53123446063638369</v>
      </c>
      <c r="I63" s="207">
        <f t="shared" ref="I63" si="63">(I62/H62)-1</f>
        <v>0.54994911643450406</v>
      </c>
      <c r="K63" s="202" t="s">
        <v>129</v>
      </c>
      <c r="L63" s="205"/>
      <c r="M63" s="206">
        <f>(M62/L62)-1</f>
        <v>4.0791017620651626E-2</v>
      </c>
      <c r="N63" s="206">
        <f t="shared" ref="N63" si="64">(N62/M62)-1</f>
        <v>3.5497383774095059E-2</v>
      </c>
      <c r="O63" s="206">
        <f t="shared" ref="O63" si="65">(O62/N62)-1</f>
        <v>0.50256782741997741</v>
      </c>
      <c r="P63" s="206">
        <f t="shared" ref="P63" si="66">(P62/O62)-1</f>
        <v>0.37008728236019106</v>
      </c>
      <c r="Q63" s="206">
        <f t="shared" ref="Q63" si="67">(Q62/P62)-1</f>
        <v>0.16140942114837364</v>
      </c>
      <c r="R63" s="206">
        <f t="shared" ref="R63" si="68">(R62/Q62)-1</f>
        <v>0.53123446063638347</v>
      </c>
      <c r="S63" s="207">
        <f t="shared" ref="S63" si="69">(S62/R62)-1</f>
        <v>0.54994911643450406</v>
      </c>
    </row>
    <row r="64" spans="1:30" s="16" customFormat="1" ht="27" thickBot="1">
      <c r="A64" s="249" t="s">
        <v>169</v>
      </c>
      <c r="B64" s="214">
        <v>31010196</v>
      </c>
      <c r="C64" s="214">
        <v>32068025</v>
      </c>
      <c r="D64" s="214">
        <v>45945072</v>
      </c>
      <c r="E64" s="214">
        <v>58916463</v>
      </c>
      <c r="F64" s="214">
        <v>63358014</v>
      </c>
      <c r="G64" s="214">
        <v>57115182.638640299</v>
      </c>
      <c r="H64" s="214">
        <v>71020637</v>
      </c>
      <c r="I64" s="215">
        <v>111047467</v>
      </c>
      <c r="K64" s="249" t="s">
        <v>169</v>
      </c>
      <c r="L64" s="214">
        <f t="shared" ref="L64:S64" si="70">B64/1000</f>
        <v>31010.196</v>
      </c>
      <c r="M64" s="214">
        <f t="shared" si="70"/>
        <v>32068.025000000001</v>
      </c>
      <c r="N64" s="214">
        <f t="shared" si="70"/>
        <v>45945.072</v>
      </c>
      <c r="O64" s="214">
        <f t="shared" si="70"/>
        <v>58916.463000000003</v>
      </c>
      <c r="P64" s="214">
        <f t="shared" si="70"/>
        <v>63358.014000000003</v>
      </c>
      <c r="Q64" s="214">
        <f t="shared" si="70"/>
        <v>57115.182638640297</v>
      </c>
      <c r="R64" s="214">
        <f t="shared" si="70"/>
        <v>71020.637000000002</v>
      </c>
      <c r="S64" s="214">
        <f t="shared" si="70"/>
        <v>111047.467</v>
      </c>
    </row>
    <row r="65" spans="1:30" s="16" customFormat="1" ht="14.4" thickBot="1">
      <c r="A65" s="202" t="s">
        <v>129</v>
      </c>
      <c r="B65" s="205"/>
      <c r="C65" s="206">
        <f>(C64/B64)-1</f>
        <v>3.4112296484678728E-2</v>
      </c>
      <c r="D65" s="206">
        <f t="shared" ref="D65" si="71">(D64/C64)-1</f>
        <v>0.43273781282133839</v>
      </c>
      <c r="E65" s="206">
        <f t="shared" ref="E65" si="72">(E64/D64)-1</f>
        <v>0.28232388013234577</v>
      </c>
      <c r="F65" s="206">
        <f t="shared" ref="F65" si="73">(F64/E64)-1</f>
        <v>7.5387264846499713E-2</v>
      </c>
      <c r="G65" s="206">
        <f t="shared" ref="G65" si="74">(G64/F64)-1</f>
        <v>-9.8532623850231538E-2</v>
      </c>
      <c r="H65" s="206">
        <f t="shared" ref="H65" si="75">(H64/G64)-1</f>
        <v>0.24346336156075266</v>
      </c>
      <c r="I65" s="207">
        <f t="shared" ref="I65" si="76">(I64/H64)-1</f>
        <v>0.56359435356796372</v>
      </c>
      <c r="K65" s="202" t="s">
        <v>129</v>
      </c>
      <c r="L65" s="205"/>
      <c r="M65" s="206">
        <f>(M64/L64)-1</f>
        <v>3.4112296484678728E-2</v>
      </c>
      <c r="N65" s="206">
        <f t="shared" ref="N65" si="77">(N64/M64)-1</f>
        <v>0.43273781282133839</v>
      </c>
      <c r="O65" s="206">
        <f t="shared" ref="O65" si="78">(O64/N64)-1</f>
        <v>0.28232388013234599</v>
      </c>
      <c r="P65" s="206">
        <f t="shared" ref="P65" si="79">(P64/O64)-1</f>
        <v>7.5387264846499713E-2</v>
      </c>
      <c r="Q65" s="206">
        <f t="shared" ref="Q65" si="80">(Q64/P64)-1</f>
        <v>-9.8532623850231538E-2</v>
      </c>
      <c r="R65" s="206">
        <f t="shared" ref="R65" si="81">(R64/Q64)-1</f>
        <v>0.24346336156075266</v>
      </c>
      <c r="S65" s="207">
        <f t="shared" ref="S65" si="82">(S64/R64)-1</f>
        <v>0.56359435356796372</v>
      </c>
    </row>
    <row r="66" spans="1:30" s="16" customFormat="1">
      <c r="A66" s="199"/>
      <c r="B66" s="199"/>
      <c r="C66" s="199"/>
      <c r="D66" s="199"/>
      <c r="E66" s="199"/>
      <c r="F66" s="199"/>
      <c r="G66" s="199"/>
      <c r="H66" s="175"/>
      <c r="I66" s="175"/>
    </row>
    <row r="67" spans="1:30" s="16" customFormat="1">
      <c r="A67" s="180"/>
      <c r="B67" s="180"/>
      <c r="C67" s="180"/>
      <c r="D67" s="180"/>
      <c r="E67" s="180"/>
      <c r="F67" s="180"/>
      <c r="G67" s="180"/>
      <c r="H67" s="181"/>
      <c r="I67" s="181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</row>
    <row r="68" spans="1:30">
      <c r="A68" s="318" t="s">
        <v>219</v>
      </c>
      <c r="B68" s="318"/>
      <c r="C68" s="318"/>
      <c r="D68" s="318"/>
      <c r="E68" s="320"/>
      <c r="F68" s="241"/>
      <c r="G68" s="241"/>
    </row>
    <row r="69" spans="1:30" ht="14.4" customHeight="1" thickBot="1">
      <c r="A69"/>
      <c r="B69"/>
      <c r="C69"/>
      <c r="D69"/>
      <c r="E69"/>
      <c r="F69"/>
      <c r="G69"/>
      <c r="H69" s="347" t="s">
        <v>128</v>
      </c>
      <c r="I69" s="347" t="s">
        <v>128</v>
      </c>
      <c r="J69" s="347"/>
      <c r="K69"/>
    </row>
    <row r="70" spans="1:30">
      <c r="A70" s="209"/>
      <c r="B70" s="210">
        <v>2014</v>
      </c>
      <c r="C70" s="210">
        <v>2015</v>
      </c>
      <c r="D70" s="210">
        <v>2016</v>
      </c>
      <c r="E70" s="210">
        <v>2017</v>
      </c>
      <c r="F70" s="210">
        <v>2018</v>
      </c>
      <c r="G70" s="210">
        <v>2019</v>
      </c>
      <c r="H70" s="210">
        <v>2020</v>
      </c>
      <c r="I70" s="216">
        <v>2021</v>
      </c>
      <c r="J70" s="217" t="s">
        <v>124</v>
      </c>
      <c r="K70" s="217" t="s">
        <v>125</v>
      </c>
    </row>
    <row r="71" spans="1:30" ht="14.4">
      <c r="A71" s="200" t="s">
        <v>187</v>
      </c>
      <c r="B71" s="218">
        <f t="shared" ref="B71:I73" si="83">B56/B29</f>
        <v>0.21670152419014502</v>
      </c>
      <c r="C71" s="218">
        <f t="shared" si="83"/>
        <v>0.19470131394887966</v>
      </c>
      <c r="D71" s="218">
        <f t="shared" si="83"/>
        <v>0.11894696422036376</v>
      </c>
      <c r="E71" s="218">
        <f t="shared" si="83"/>
        <v>0.10862913269341948</v>
      </c>
      <c r="F71" s="218">
        <f t="shared" si="83"/>
        <v>5.5797887101463772E-2</v>
      </c>
      <c r="G71" s="218">
        <f t="shared" si="83"/>
        <v>2.6102149219384477E-2</v>
      </c>
      <c r="H71" s="218">
        <f t="shared" si="83"/>
        <v>9.0312021219496136E-2</v>
      </c>
      <c r="I71" s="219">
        <f t="shared" si="83"/>
        <v>1.6213500114869349E-2</v>
      </c>
      <c r="J71" s="234">
        <f>AVERAGE(B71:I71)</f>
        <v>0.10342556158850269</v>
      </c>
      <c r="K71" s="221">
        <v>3</v>
      </c>
    </row>
    <row r="72" spans="1:30" ht="14.4">
      <c r="A72" s="200" t="s">
        <v>188</v>
      </c>
      <c r="B72" s="218">
        <f t="shared" si="83"/>
        <v>0.22921703741019953</v>
      </c>
      <c r="C72" s="218">
        <f t="shared" si="83"/>
        <v>0.21579374603776144</v>
      </c>
      <c r="D72" s="218">
        <f t="shared" si="83"/>
        <v>0.21322162334207273</v>
      </c>
      <c r="E72" s="218">
        <f t="shared" si="83"/>
        <v>0.22044562093967623</v>
      </c>
      <c r="F72" s="218">
        <f t="shared" si="83"/>
        <v>0.18774366051262095</v>
      </c>
      <c r="G72" s="218">
        <f t="shared" si="83"/>
        <v>0.18942179165633297</v>
      </c>
      <c r="H72" s="218">
        <f t="shared" si="83"/>
        <v>0.19862184528002111</v>
      </c>
      <c r="I72" s="219">
        <f t="shared" si="83"/>
        <v>0.27213525115062515</v>
      </c>
      <c r="J72" s="234">
        <f t="shared" ref="J72:J76" si="84">AVERAGE(B72:I72)</f>
        <v>0.21582507204116377</v>
      </c>
      <c r="K72" s="221">
        <v>3</v>
      </c>
    </row>
    <row r="73" spans="1:30" ht="14.4">
      <c r="A73" s="200" t="s">
        <v>189</v>
      </c>
      <c r="B73" s="218">
        <f t="shared" si="83"/>
        <v>0.1959867610950945</v>
      </c>
      <c r="C73" s="218">
        <f t="shared" si="83"/>
        <v>0.11971062992267591</v>
      </c>
      <c r="D73" s="218">
        <f t="shared" si="83"/>
        <v>0.12379662435963359</v>
      </c>
      <c r="E73" s="218">
        <f t="shared" si="83"/>
        <v>0.15766465504203259</v>
      </c>
      <c r="F73" s="218">
        <f t="shared" si="83"/>
        <v>0.14461439927186162</v>
      </c>
      <c r="G73" s="218">
        <f t="shared" si="83"/>
        <v>0.10517298383897163</v>
      </c>
      <c r="H73" s="218">
        <f t="shared" si="83"/>
        <v>0.19376767620031654</v>
      </c>
      <c r="I73" s="219">
        <f t="shared" si="83"/>
        <v>0.18943689455460072</v>
      </c>
      <c r="J73" s="234">
        <f t="shared" si="84"/>
        <v>0.1537688280356484</v>
      </c>
      <c r="K73" s="221">
        <v>3</v>
      </c>
    </row>
    <row r="74" spans="1:30" ht="14.4">
      <c r="A74" s="200" t="s">
        <v>190</v>
      </c>
      <c r="B74" s="218"/>
      <c r="C74" s="305"/>
      <c r="D74" s="305">
        <f t="shared" ref="D74:I74" si="85">D59/D32</f>
        <v>2.9963505330883294E-2</v>
      </c>
      <c r="E74" s="305">
        <f t="shared" si="85"/>
        <v>0.20376567161745765</v>
      </c>
      <c r="F74" s="305">
        <f t="shared" si="85"/>
        <v>0.19829595653215865</v>
      </c>
      <c r="G74" s="305">
        <f t="shared" si="85"/>
        <v>0.19621878909665633</v>
      </c>
      <c r="H74" s="218">
        <f t="shared" si="85"/>
        <v>0.18907582172309842</v>
      </c>
      <c r="I74" s="219">
        <f t="shared" si="85"/>
        <v>0.11664229999252386</v>
      </c>
      <c r="J74" s="234">
        <f t="shared" si="84"/>
        <v>0.15566034071546303</v>
      </c>
      <c r="K74" s="221">
        <v>3</v>
      </c>
    </row>
    <row r="75" spans="1:30" ht="14.4">
      <c r="A75" s="200" t="s">
        <v>191</v>
      </c>
      <c r="B75" s="218"/>
      <c r="C75" s="305"/>
      <c r="D75" s="305"/>
      <c r="E75" s="305">
        <f>E60/E33</f>
        <v>0.24290684057531697</v>
      </c>
      <c r="F75" s="305">
        <f>F60/F33</f>
        <v>0.24086348197132587</v>
      </c>
      <c r="G75" s="305">
        <f>G60/G33</f>
        <v>0.19027277426007352</v>
      </c>
      <c r="H75" s="218">
        <f>H60/H33</f>
        <v>0.27786846737945614</v>
      </c>
      <c r="I75" s="219">
        <f>I60/I33</f>
        <v>0.32246333111792874</v>
      </c>
      <c r="J75" s="234">
        <f t="shared" si="84"/>
        <v>0.25487497906082024</v>
      </c>
      <c r="K75" s="221">
        <v>2</v>
      </c>
    </row>
    <row r="76" spans="1:30" ht="15" thickBot="1">
      <c r="A76" s="222" t="s">
        <v>192</v>
      </c>
      <c r="B76" s="223"/>
      <c r="C76" s="306"/>
      <c r="D76" s="306"/>
      <c r="E76" s="306"/>
      <c r="F76" s="306"/>
      <c r="G76" s="306"/>
      <c r="H76" s="223">
        <f>H61/H34</f>
        <v>0.10449070646845801</v>
      </c>
      <c r="I76" s="224">
        <f>I61/I34</f>
        <v>8.0713480410887509E-2</v>
      </c>
      <c r="J76" s="235">
        <f t="shared" si="84"/>
        <v>9.2602093439672767E-2</v>
      </c>
      <c r="K76" s="226">
        <v>4</v>
      </c>
    </row>
    <row r="77" spans="1:30" ht="26.4">
      <c r="A77" s="229" t="s">
        <v>169</v>
      </c>
      <c r="B77" s="230">
        <f>B64/B37</f>
        <v>0.23007031293089222</v>
      </c>
      <c r="C77" s="230">
        <f t="shared" ref="C77:I77" si="86">C64/C37</f>
        <v>0.20134814621967831</v>
      </c>
      <c r="D77" s="230">
        <f t="shared" si="86"/>
        <v>0.24269869239886108</v>
      </c>
      <c r="E77" s="230">
        <f t="shared" si="86"/>
        <v>0.24561709440520832</v>
      </c>
      <c r="F77" s="230">
        <f t="shared" si="86"/>
        <v>0.17799485827643644</v>
      </c>
      <c r="G77" s="230">
        <f t="shared" si="86"/>
        <v>0.14118528939576963</v>
      </c>
      <c r="H77" s="230">
        <f t="shared" si="86"/>
        <v>0.176040435436251</v>
      </c>
      <c r="I77" s="230">
        <f t="shared" si="86"/>
        <v>0.18258800208295489</v>
      </c>
      <c r="J77" s="230">
        <f>AVERAGE(B77:I77)</f>
        <v>0.1996928538932565</v>
      </c>
      <c r="K77" s="233"/>
    </row>
    <row r="79" spans="1:30">
      <c r="A79" s="180"/>
      <c r="B79" s="180"/>
      <c r="C79" s="180"/>
      <c r="D79" s="180"/>
      <c r="E79" s="180"/>
      <c r="F79" s="180"/>
      <c r="G79" s="180"/>
      <c r="H79" s="181"/>
      <c r="I79" s="181"/>
      <c r="J79" s="179"/>
      <c r="K79" s="179"/>
      <c r="L79" s="179"/>
      <c r="M79" s="179"/>
      <c r="N79" s="179"/>
      <c r="O79" s="179"/>
      <c r="P79" s="179"/>
      <c r="Q79" s="179"/>
      <c r="R79" s="179"/>
      <c r="S79" s="179"/>
      <c r="T79" s="179"/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</row>
    <row r="80" spans="1:30">
      <c r="A80" s="318" t="s">
        <v>218</v>
      </c>
      <c r="B80" s="318"/>
      <c r="C80" s="318"/>
      <c r="D80" s="318"/>
      <c r="E80" s="320"/>
      <c r="F80" s="241"/>
      <c r="G80" s="241"/>
    </row>
    <row r="81" spans="1:30" ht="14.4" customHeight="1" thickBot="1">
      <c r="A81"/>
      <c r="B81"/>
      <c r="C81"/>
      <c r="D81"/>
      <c r="E81"/>
      <c r="F81"/>
      <c r="G81"/>
      <c r="H81" s="347" t="s">
        <v>128</v>
      </c>
      <c r="I81" s="347" t="s">
        <v>128</v>
      </c>
      <c r="J81" s="347"/>
      <c r="K81"/>
    </row>
    <row r="82" spans="1:30">
      <c r="A82" s="209"/>
      <c r="B82" s="210">
        <v>2014</v>
      </c>
      <c r="C82" s="210">
        <v>2015</v>
      </c>
      <c r="D82" s="210">
        <v>2016</v>
      </c>
      <c r="E82" s="210">
        <v>2017</v>
      </c>
      <c r="F82" s="210">
        <v>2018</v>
      </c>
      <c r="G82" s="210">
        <v>2019</v>
      </c>
      <c r="H82" s="210">
        <v>2020</v>
      </c>
      <c r="I82" s="216">
        <v>2021</v>
      </c>
      <c r="J82" s="217" t="s">
        <v>124</v>
      </c>
      <c r="K82" s="217" t="s">
        <v>125</v>
      </c>
    </row>
    <row r="83" spans="1:30" ht="14.4">
      <c r="A83" s="200" t="s">
        <v>187</v>
      </c>
      <c r="B83" s="218">
        <f t="shared" ref="B83:I85" si="87">B14/B3</f>
        <v>3.4857121434544468E-2</v>
      </c>
      <c r="C83" s="218">
        <f t="shared" si="87"/>
        <v>3.5500914535583336E-2</v>
      </c>
      <c r="D83" s="218">
        <f t="shared" si="87"/>
        <v>3.6382318108043724E-2</v>
      </c>
      <c r="E83" s="218">
        <f t="shared" si="87"/>
        <v>3.8388722958633478E-2</v>
      </c>
      <c r="F83" s="218">
        <f t="shared" si="87"/>
        <v>4.7371056392753519E-2</v>
      </c>
      <c r="G83" s="218">
        <f t="shared" si="87"/>
        <v>4.9055027003231298E-2</v>
      </c>
      <c r="H83" s="218">
        <f t="shared" si="87"/>
        <v>2.7107932493139118E-2</v>
      </c>
      <c r="I83" s="219">
        <f t="shared" si="87"/>
        <v>3.0560618980715572E-2</v>
      </c>
      <c r="J83" s="234">
        <f>AVERAGE(B83:I83)</f>
        <v>3.7402963988330561E-2</v>
      </c>
      <c r="K83" s="221">
        <v>2</v>
      </c>
    </row>
    <row r="84" spans="1:30" ht="14.4" customHeight="1">
      <c r="A84" s="200" t="s">
        <v>188</v>
      </c>
      <c r="B84" s="218">
        <f t="shared" si="87"/>
        <v>2.6161397248469252E-2</v>
      </c>
      <c r="C84" s="218">
        <f t="shared" si="87"/>
        <v>2.6063273706844636E-2</v>
      </c>
      <c r="D84" s="218">
        <f t="shared" si="87"/>
        <v>2.9716511690967388E-2</v>
      </c>
      <c r="E84" s="218">
        <f t="shared" si="87"/>
        <v>3.005392127299825E-2</v>
      </c>
      <c r="F84" s="218">
        <f t="shared" si="87"/>
        <v>3.8393691696979718E-2</v>
      </c>
      <c r="G84" s="218">
        <f t="shared" si="87"/>
        <v>3.8066113876911042E-2</v>
      </c>
      <c r="H84" s="218">
        <f t="shared" si="87"/>
        <v>2.0478084899883488E-2</v>
      </c>
      <c r="I84" s="219">
        <f t="shared" si="87"/>
        <v>2.1273271206722164E-2</v>
      </c>
      <c r="J84" s="234">
        <f t="shared" ref="J84:J88" si="88">AVERAGE(B84:I84)</f>
        <v>2.877578319997199E-2</v>
      </c>
      <c r="K84" s="221">
        <v>2</v>
      </c>
    </row>
    <row r="85" spans="1:30" ht="14.4">
      <c r="A85" s="200" t="s">
        <v>189</v>
      </c>
      <c r="B85" s="218">
        <f t="shared" si="87"/>
        <v>3.2009037823494339E-2</v>
      </c>
      <c r="C85" s="218">
        <f t="shared" si="87"/>
        <v>3.5669155301808503E-2</v>
      </c>
      <c r="D85" s="218">
        <f t="shared" si="87"/>
        <v>3.7924467445482557E-2</v>
      </c>
      <c r="E85" s="218">
        <f t="shared" si="87"/>
        <v>3.7133052498769414E-2</v>
      </c>
      <c r="F85" s="218">
        <f t="shared" si="87"/>
        <v>4.6583874296625867E-2</v>
      </c>
      <c r="G85" s="218">
        <f t="shared" si="87"/>
        <v>4.9516102359433739E-2</v>
      </c>
      <c r="H85" s="218">
        <f t="shared" si="87"/>
        <v>2.4857743233809289E-2</v>
      </c>
      <c r="I85" s="219">
        <f t="shared" si="87"/>
        <v>3.4235621663494573E-2</v>
      </c>
      <c r="J85" s="234">
        <f t="shared" si="88"/>
        <v>3.7241131827864787E-2</v>
      </c>
      <c r="K85" s="221">
        <v>2</v>
      </c>
    </row>
    <row r="86" spans="1:30" ht="14.4">
      <c r="A86" s="200" t="s">
        <v>190</v>
      </c>
      <c r="B86" s="218"/>
      <c r="C86" s="305"/>
      <c r="D86" s="305">
        <f t="shared" ref="D86:I86" si="89">D17/D6</f>
        <v>2.6365577667059027E-2</v>
      </c>
      <c r="E86" s="305">
        <f t="shared" si="89"/>
        <v>3.7512239425070537E-2</v>
      </c>
      <c r="F86" s="305">
        <f t="shared" si="89"/>
        <v>5.1799841396414921E-2</v>
      </c>
      <c r="G86" s="305">
        <f t="shared" si="89"/>
        <v>6.1154137150476365E-2</v>
      </c>
      <c r="H86" s="305">
        <f t="shared" si="89"/>
        <v>3.5270193581351028E-2</v>
      </c>
      <c r="I86" s="219">
        <f t="shared" si="89"/>
        <v>4.826825235164179E-2</v>
      </c>
      <c r="J86" s="234">
        <f t="shared" si="88"/>
        <v>4.3395040262002277E-2</v>
      </c>
      <c r="K86" s="221">
        <v>3</v>
      </c>
    </row>
    <row r="87" spans="1:30" ht="14.4">
      <c r="A87" s="200" t="s">
        <v>191</v>
      </c>
      <c r="B87" s="218"/>
      <c r="C87" s="305"/>
      <c r="D87" s="305"/>
      <c r="E87" s="305">
        <f t="shared" ref="E87:I87" si="90">E18/E7</f>
        <v>3.3165570854824078E-2</v>
      </c>
      <c r="F87" s="305">
        <f t="shared" si="90"/>
        <v>5.2743736349653493E-2</v>
      </c>
      <c r="G87" s="305">
        <f t="shared" si="90"/>
        <v>5.415403134438599E-2</v>
      </c>
      <c r="H87" s="305">
        <f t="shared" si="90"/>
        <v>2.5301486364289996E-2</v>
      </c>
      <c r="I87" s="219">
        <f t="shared" si="90"/>
        <v>2.9510787955896223E-2</v>
      </c>
      <c r="J87" s="234">
        <f t="shared" si="88"/>
        <v>3.8975122573809959E-2</v>
      </c>
      <c r="K87" s="221">
        <v>2</v>
      </c>
    </row>
    <row r="88" spans="1:30" ht="15" thickBot="1">
      <c r="A88" s="222" t="s">
        <v>192</v>
      </c>
      <c r="B88" s="223"/>
      <c r="C88" s="306"/>
      <c r="D88" s="306"/>
      <c r="E88" s="306"/>
      <c r="F88" s="306"/>
      <c r="G88" s="306"/>
      <c r="H88" s="306">
        <f>H19/H8</f>
        <v>1.8225099272066152E-2</v>
      </c>
      <c r="I88" s="224">
        <f>I19/I8</f>
        <v>1.3735458553814639E-2</v>
      </c>
      <c r="J88" s="235">
        <f t="shared" si="88"/>
        <v>1.5980278912940397E-2</v>
      </c>
      <c r="K88" s="226">
        <v>2</v>
      </c>
    </row>
    <row r="89" spans="1:30" ht="26.4">
      <c r="A89" s="229" t="s">
        <v>169</v>
      </c>
      <c r="B89" s="230">
        <f>B22/B9</f>
        <v>3.7014660906479285E-2</v>
      </c>
      <c r="C89" s="230">
        <f t="shared" ref="C89:I89" si="91">C22/C9</f>
        <v>3.7221684154827218E-2</v>
      </c>
      <c r="D89" s="230">
        <f t="shared" si="91"/>
        <v>3.8239555393663159E-2</v>
      </c>
      <c r="E89" s="230">
        <f t="shared" si="91"/>
        <v>4.1520765309086542E-2</v>
      </c>
      <c r="F89" s="230">
        <f t="shared" si="91"/>
        <v>5.8296952347938122E-2</v>
      </c>
      <c r="G89" s="230">
        <f t="shared" si="91"/>
        <v>5.8345979236578721E-2</v>
      </c>
      <c r="H89" s="230">
        <f t="shared" si="91"/>
        <v>3.4946237562540401E-2</v>
      </c>
      <c r="I89" s="230">
        <f t="shared" si="91"/>
        <v>4.160823859515618E-2</v>
      </c>
      <c r="J89" s="230">
        <f>AVERAGE(B89:I89)</f>
        <v>4.3399259188283697E-2</v>
      </c>
      <c r="K89" s="233"/>
    </row>
    <row r="91" spans="1:30">
      <c r="A91" s="180"/>
      <c r="B91" s="180"/>
      <c r="C91" s="180"/>
      <c r="D91" s="180"/>
      <c r="E91" s="180"/>
      <c r="F91" s="180"/>
      <c r="G91" s="180"/>
      <c r="H91" s="181"/>
      <c r="I91" s="181"/>
      <c r="J91" s="179"/>
      <c r="K91" s="179"/>
      <c r="L91" s="179"/>
      <c r="M91" s="179"/>
      <c r="N91" s="179"/>
      <c r="O91" s="179"/>
      <c r="P91" s="179"/>
      <c r="Q91" s="179"/>
      <c r="R91" s="179"/>
      <c r="S91" s="179"/>
      <c r="T91" s="179"/>
      <c r="U91" s="179"/>
      <c r="V91" s="179"/>
      <c r="W91" s="179"/>
      <c r="X91" s="179"/>
      <c r="Y91" s="179"/>
      <c r="Z91" s="179"/>
      <c r="AA91" s="179"/>
      <c r="AB91" s="179"/>
      <c r="AC91" s="179"/>
      <c r="AD91" s="179"/>
    </row>
  </sheetData>
  <mergeCells count="11">
    <mergeCell ref="Q12:S12"/>
    <mergeCell ref="Q27:S27"/>
    <mergeCell ref="Q54:S54"/>
    <mergeCell ref="A1:G1"/>
    <mergeCell ref="H1:I1"/>
    <mergeCell ref="G12:I12"/>
    <mergeCell ref="G27:I27"/>
    <mergeCell ref="H81:J81"/>
    <mergeCell ref="G54:I54"/>
    <mergeCell ref="H42:J42"/>
    <mergeCell ref="H69:J6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4B150-D03E-4496-AD04-F0E98EAE5694}">
  <dimension ref="A1:AD123"/>
  <sheetViews>
    <sheetView showGridLines="0" topLeftCell="A92" zoomScale="70" zoomScaleNormal="70" workbookViewId="0">
      <selection activeCell="E111" sqref="E111:F111"/>
    </sheetView>
  </sheetViews>
  <sheetFormatPr defaultRowHeight="13.8"/>
  <cols>
    <col min="1" max="1" width="11.77734375" style="2" customWidth="1"/>
    <col min="2" max="9" width="14.6640625" style="2" bestFit="1" customWidth="1"/>
    <col min="10" max="10" width="7.21875" style="2" bestFit="1" customWidth="1"/>
    <col min="11" max="11" width="11.6640625" style="2" customWidth="1"/>
    <col min="12" max="19" width="9.88671875" style="2" customWidth="1"/>
    <col min="20" max="20" width="8.88671875" style="2"/>
    <col min="21" max="28" width="9.77734375" style="2" customWidth="1"/>
    <col min="29" max="16384" width="8.88671875" style="2"/>
  </cols>
  <sheetData>
    <row r="1" spans="1:9" ht="14.4" hidden="1" thickBot="1">
      <c r="A1" s="339" t="s">
        <v>175</v>
      </c>
      <c r="B1" s="340"/>
      <c r="C1" s="340"/>
      <c r="D1" s="340"/>
      <c r="E1" s="340"/>
      <c r="F1" s="340"/>
      <c r="G1" s="340"/>
      <c r="H1" s="341" t="s">
        <v>127</v>
      </c>
      <c r="I1" s="342"/>
    </row>
    <row r="2" spans="1:9" hidden="1">
      <c r="A2" s="188"/>
      <c r="B2" s="182">
        <v>2014</v>
      </c>
      <c r="C2" s="182">
        <v>2015</v>
      </c>
      <c r="D2" s="182">
        <v>2016</v>
      </c>
      <c r="E2" s="182">
        <v>2017</v>
      </c>
      <c r="F2" s="182">
        <v>2018</v>
      </c>
      <c r="G2" s="182">
        <v>2019</v>
      </c>
      <c r="H2" s="182">
        <v>2020</v>
      </c>
      <c r="I2" s="189">
        <v>2021</v>
      </c>
    </row>
    <row r="3" spans="1:9" hidden="1">
      <c r="A3" s="238" t="s">
        <v>210</v>
      </c>
      <c r="B3" s="10">
        <v>1790927</v>
      </c>
      <c r="C3" s="10">
        <v>2103914</v>
      </c>
      <c r="D3" s="10">
        <v>2279593</v>
      </c>
      <c r="E3" s="10">
        <v>2481506</v>
      </c>
      <c r="F3" s="10">
        <v>3261451</v>
      </c>
      <c r="G3" s="10">
        <v>3821929</v>
      </c>
      <c r="H3" s="10">
        <v>4044227</v>
      </c>
      <c r="I3" s="69">
        <v>4626853</v>
      </c>
    </row>
    <row r="4" spans="1:9" hidden="1">
      <c r="A4" s="238" t="s">
        <v>211</v>
      </c>
      <c r="B4" s="10">
        <v>3022870</v>
      </c>
      <c r="C4" s="10">
        <v>3402490</v>
      </c>
      <c r="D4" s="10">
        <v>3912064</v>
      </c>
      <c r="E4" s="10">
        <v>4591151</v>
      </c>
      <c r="F4" s="10">
        <v>5438553</v>
      </c>
      <c r="G4" s="10">
        <v>6821290</v>
      </c>
      <c r="H4" s="10">
        <v>7995097</v>
      </c>
      <c r="I4" s="69">
        <v>10456853</v>
      </c>
    </row>
    <row r="5" spans="1:9" hidden="1">
      <c r="A5" s="238" t="s">
        <v>212</v>
      </c>
      <c r="B5" s="10">
        <v>3153847</v>
      </c>
      <c r="C5" s="10">
        <v>3356757</v>
      </c>
      <c r="D5" s="10">
        <v>3663014</v>
      </c>
      <c r="E5" s="10">
        <v>4060598</v>
      </c>
      <c r="F5" s="10">
        <v>4323181</v>
      </c>
      <c r="G5" s="10">
        <v>4827079</v>
      </c>
      <c r="H5" s="10">
        <v>5495302</v>
      </c>
      <c r="I5" s="69">
        <v>6556794</v>
      </c>
    </row>
    <row r="6" spans="1:9" hidden="1">
      <c r="A6" s="238" t="s">
        <v>213</v>
      </c>
      <c r="B6" s="76" t="s">
        <v>1</v>
      </c>
      <c r="C6" s="76">
        <v>664530</v>
      </c>
      <c r="D6" s="76">
        <v>764621</v>
      </c>
      <c r="E6" s="76">
        <v>1403681</v>
      </c>
      <c r="F6" s="76">
        <v>2544897</v>
      </c>
      <c r="G6" s="76">
        <v>3166828</v>
      </c>
      <c r="H6" s="76">
        <v>3734273</v>
      </c>
      <c r="I6" s="174">
        <v>4321735</v>
      </c>
    </row>
    <row r="7" spans="1:9" hidden="1">
      <c r="A7" s="238" t="s">
        <v>191</v>
      </c>
      <c r="B7" s="76" t="s">
        <v>1</v>
      </c>
      <c r="C7" s="76">
        <v>857671</v>
      </c>
      <c r="D7" s="76">
        <v>876418</v>
      </c>
      <c r="E7" s="76">
        <v>1107885</v>
      </c>
      <c r="F7" s="76">
        <v>1527226</v>
      </c>
      <c r="G7" s="76">
        <v>1960693</v>
      </c>
      <c r="H7" s="76">
        <v>4798566</v>
      </c>
      <c r="I7" s="174">
        <v>8619719</v>
      </c>
    </row>
    <row r="8" spans="1:9" hidden="1">
      <c r="A8" s="238" t="s">
        <v>214</v>
      </c>
      <c r="B8" s="76" t="s">
        <v>1</v>
      </c>
      <c r="C8" s="76" t="s">
        <v>1</v>
      </c>
      <c r="D8" s="76" t="s">
        <v>1</v>
      </c>
      <c r="E8" s="76" t="s">
        <v>1</v>
      </c>
      <c r="F8" s="76">
        <v>1101106</v>
      </c>
      <c r="G8" s="76">
        <v>1169173</v>
      </c>
      <c r="H8" s="76">
        <v>1539266</v>
      </c>
      <c r="I8" s="174">
        <v>1728423</v>
      </c>
    </row>
    <row r="9" spans="1:9" ht="28.2" hidden="1" thickBot="1">
      <c r="A9" s="243" t="s">
        <v>169</v>
      </c>
      <c r="B9" s="261">
        <v>222331543</v>
      </c>
      <c r="C9" s="261">
        <v>251613646</v>
      </c>
      <c r="D9" s="261">
        <v>288788997.99742717</v>
      </c>
      <c r="E9" s="261">
        <v>345030883</v>
      </c>
      <c r="F9" s="261">
        <v>405257916</v>
      </c>
      <c r="G9" s="261">
        <v>470409822</v>
      </c>
      <c r="H9" s="261">
        <v>571983642</v>
      </c>
      <c r="I9" s="262">
        <v>677635517</v>
      </c>
    </row>
    <row r="10" spans="1:9" ht="14.4" hidden="1" thickBot="1"/>
    <row r="11" spans="1:9" ht="14.4" hidden="1" thickBot="1">
      <c r="A11" s="339" t="s">
        <v>174</v>
      </c>
      <c r="B11" s="340"/>
      <c r="C11" s="340"/>
      <c r="D11" s="340"/>
      <c r="E11" s="340"/>
      <c r="F11" s="340"/>
      <c r="G11" s="340"/>
      <c r="H11" s="341" t="s">
        <v>127</v>
      </c>
      <c r="I11" s="342"/>
    </row>
    <row r="12" spans="1:9" hidden="1">
      <c r="A12" s="188"/>
      <c r="B12" s="182">
        <v>2014</v>
      </c>
      <c r="C12" s="182">
        <v>2015</v>
      </c>
      <c r="D12" s="182">
        <v>2016</v>
      </c>
      <c r="E12" s="182">
        <v>2017</v>
      </c>
      <c r="F12" s="182">
        <v>2018</v>
      </c>
      <c r="G12" s="182">
        <v>2019</v>
      </c>
      <c r="H12" s="182">
        <v>2020</v>
      </c>
      <c r="I12" s="189">
        <v>2021</v>
      </c>
    </row>
    <row r="13" spans="1:9" hidden="1">
      <c r="A13" s="238" t="s">
        <v>210</v>
      </c>
      <c r="B13" s="10">
        <v>23046424</v>
      </c>
      <c r="C13" s="10">
        <v>29561999</v>
      </c>
      <c r="D13" s="10">
        <v>32850738</v>
      </c>
      <c r="E13" s="10">
        <v>36229077</v>
      </c>
      <c r="F13" s="10">
        <v>42223652</v>
      </c>
      <c r="G13" s="10">
        <v>51392368</v>
      </c>
      <c r="H13" s="10">
        <v>69315799</v>
      </c>
      <c r="I13" s="69">
        <v>108955123</v>
      </c>
    </row>
    <row r="14" spans="1:9" hidden="1">
      <c r="A14" s="238" t="s">
        <v>211</v>
      </c>
      <c r="B14" s="10">
        <v>33543583</v>
      </c>
      <c r="C14" s="10">
        <v>42052507</v>
      </c>
      <c r="D14" s="10">
        <v>48476955</v>
      </c>
      <c r="E14" s="10">
        <v>57123095</v>
      </c>
      <c r="F14" s="10">
        <v>74232325</v>
      </c>
      <c r="G14" s="10">
        <v>104439345</v>
      </c>
      <c r="H14" s="10">
        <v>152290315</v>
      </c>
      <c r="I14" s="69">
        <v>254068260</v>
      </c>
    </row>
    <row r="15" spans="1:9" hidden="1">
      <c r="A15" s="238" t="s">
        <v>212</v>
      </c>
      <c r="B15" s="10">
        <v>33494790</v>
      </c>
      <c r="C15" s="10">
        <v>38576299</v>
      </c>
      <c r="D15" s="10">
        <v>38807717</v>
      </c>
      <c r="E15" s="10">
        <v>39080897</v>
      </c>
      <c r="F15" s="10">
        <v>47052484</v>
      </c>
      <c r="G15" s="10">
        <v>52427410</v>
      </c>
      <c r="H15" s="10">
        <v>81370822</v>
      </c>
      <c r="I15" s="69">
        <v>115643263</v>
      </c>
    </row>
    <row r="16" spans="1:9" hidden="1">
      <c r="A16" s="238" t="s">
        <v>213</v>
      </c>
      <c r="B16" s="76" t="s">
        <v>1</v>
      </c>
      <c r="C16" s="76">
        <v>2177435</v>
      </c>
      <c r="D16" s="76">
        <v>7959507</v>
      </c>
      <c r="E16" s="76">
        <v>14350143</v>
      </c>
      <c r="F16" s="76">
        <v>25477356</v>
      </c>
      <c r="G16" s="76">
        <v>36392174</v>
      </c>
      <c r="H16" s="76">
        <v>60186996</v>
      </c>
      <c r="I16" s="174">
        <v>98312592</v>
      </c>
    </row>
    <row r="17" spans="1:9" hidden="1">
      <c r="A17" s="238" t="s">
        <v>191</v>
      </c>
      <c r="B17" s="76" t="s">
        <v>1</v>
      </c>
      <c r="C17" s="76">
        <v>862030</v>
      </c>
      <c r="D17" s="76">
        <v>4681933</v>
      </c>
      <c r="E17" s="76">
        <v>13210145</v>
      </c>
      <c r="F17" s="76">
        <v>20955512</v>
      </c>
      <c r="G17" s="76">
        <v>30348784</v>
      </c>
      <c r="H17" s="76">
        <v>53157628</v>
      </c>
      <c r="I17" s="174">
        <v>100757086</v>
      </c>
    </row>
    <row r="18" spans="1:9" hidden="1">
      <c r="A18" s="238" t="s">
        <v>214</v>
      </c>
      <c r="B18" s="76" t="s">
        <v>1</v>
      </c>
      <c r="C18" s="76" t="s">
        <v>1</v>
      </c>
      <c r="D18" s="76" t="s">
        <v>1</v>
      </c>
      <c r="E18" s="76" t="s">
        <v>1</v>
      </c>
      <c r="F18" s="76">
        <v>1138798</v>
      </c>
      <c r="G18" s="76">
        <v>9282271</v>
      </c>
      <c r="H18" s="76">
        <v>20390177</v>
      </c>
      <c r="I18" s="174">
        <v>38759900</v>
      </c>
    </row>
    <row r="19" spans="1:9" ht="28.2" hidden="1" thickBot="1">
      <c r="A19" s="243" t="s">
        <v>169</v>
      </c>
      <c r="B19" s="261">
        <v>1888308478</v>
      </c>
      <c r="C19" s="261">
        <v>2235994713.5601697</v>
      </c>
      <c r="D19" s="261">
        <v>2595347984</v>
      </c>
      <c r="E19" s="261">
        <v>3095039170</v>
      </c>
      <c r="F19" s="261">
        <v>3656359182</v>
      </c>
      <c r="G19" s="261">
        <v>4201885172</v>
      </c>
      <c r="H19" s="261">
        <v>5663536186</v>
      </c>
      <c r="I19" s="262">
        <v>8489361144</v>
      </c>
    </row>
    <row r="20" spans="1:9" ht="14.4" hidden="1" thickBot="1"/>
    <row r="21" spans="1:9" ht="14.4" hidden="1" thickBot="1">
      <c r="A21" s="339" t="s">
        <v>111</v>
      </c>
      <c r="B21" s="340"/>
      <c r="C21" s="340"/>
      <c r="D21" s="340"/>
      <c r="E21" s="340"/>
      <c r="F21" s="340"/>
      <c r="G21" s="340"/>
      <c r="H21" s="341" t="s">
        <v>127</v>
      </c>
      <c r="I21" s="342"/>
    </row>
    <row r="22" spans="1:9" hidden="1">
      <c r="A22" s="188"/>
      <c r="B22" s="182">
        <v>2014</v>
      </c>
      <c r="C22" s="182">
        <v>2015</v>
      </c>
      <c r="D22" s="182">
        <v>2016</v>
      </c>
      <c r="E22" s="182">
        <v>2017</v>
      </c>
      <c r="F22" s="182">
        <v>2018</v>
      </c>
      <c r="G22" s="182">
        <v>2019</v>
      </c>
      <c r="H22" s="182">
        <v>2020</v>
      </c>
      <c r="I22" s="189">
        <v>2021</v>
      </c>
    </row>
    <row r="23" spans="1:9" hidden="1">
      <c r="A23" s="238" t="s">
        <v>210</v>
      </c>
      <c r="B23" s="10">
        <v>1502306</v>
      </c>
      <c r="C23" s="10">
        <v>1935159</v>
      </c>
      <c r="D23" s="10">
        <v>2218804</v>
      </c>
      <c r="E23" s="10">
        <v>2658587</v>
      </c>
      <c r="F23" s="10">
        <v>3019738</v>
      </c>
      <c r="G23" s="10">
        <v>3344284</v>
      </c>
      <c r="H23" s="10">
        <v>3584628</v>
      </c>
      <c r="I23" s="69">
        <v>5023098</v>
      </c>
    </row>
    <row r="24" spans="1:9" hidden="1">
      <c r="A24" s="238" t="s">
        <v>211</v>
      </c>
      <c r="B24" s="10">
        <v>2018781</v>
      </c>
      <c r="C24" s="10">
        <v>2564838</v>
      </c>
      <c r="D24" s="10">
        <v>3110435</v>
      </c>
      <c r="E24" s="10">
        <v>3850986</v>
      </c>
      <c r="F24" s="10">
        <v>5997843</v>
      </c>
      <c r="G24" s="10">
        <v>7471511</v>
      </c>
      <c r="H24" s="10">
        <v>9327690</v>
      </c>
      <c r="I24" s="69">
        <v>13035305</v>
      </c>
    </row>
    <row r="25" spans="1:9" hidden="1">
      <c r="A25" s="238" t="s">
        <v>212</v>
      </c>
      <c r="B25" s="10">
        <v>2169968</v>
      </c>
      <c r="C25" s="10">
        <v>2780246</v>
      </c>
      <c r="D25" s="10">
        <v>2981301</v>
      </c>
      <c r="E25" s="10">
        <v>2902629</v>
      </c>
      <c r="F25" s="10">
        <v>3937713</v>
      </c>
      <c r="G25" s="10">
        <v>4536840</v>
      </c>
      <c r="H25" s="10">
        <v>4504291</v>
      </c>
      <c r="I25" s="69">
        <v>6382801</v>
      </c>
    </row>
    <row r="26" spans="1:9" hidden="1">
      <c r="A26" s="238" t="s">
        <v>213</v>
      </c>
      <c r="B26" s="76" t="s">
        <v>1</v>
      </c>
      <c r="C26" s="76">
        <v>86425</v>
      </c>
      <c r="D26" s="76">
        <v>390742</v>
      </c>
      <c r="E26" s="76">
        <v>981392</v>
      </c>
      <c r="F26" s="76">
        <v>2328382</v>
      </c>
      <c r="G26" s="76">
        <v>3594457</v>
      </c>
      <c r="H26" s="76">
        <v>4191345</v>
      </c>
      <c r="I26" s="174">
        <v>6259916</v>
      </c>
    </row>
    <row r="27" spans="1:9" hidden="1">
      <c r="A27" s="238" t="s">
        <v>191</v>
      </c>
      <c r="B27" s="76" t="s">
        <v>1</v>
      </c>
      <c r="C27" s="76">
        <v>10068</v>
      </c>
      <c r="D27" s="76">
        <v>140987</v>
      </c>
      <c r="E27" s="76">
        <v>699371</v>
      </c>
      <c r="F27" s="76">
        <v>1718762</v>
      </c>
      <c r="G27" s="76">
        <v>2323643</v>
      </c>
      <c r="H27" s="76">
        <v>3031096</v>
      </c>
      <c r="I27" s="174">
        <v>5165347</v>
      </c>
    </row>
    <row r="28" spans="1:9" hidden="1">
      <c r="A28" s="238" t="s">
        <v>214</v>
      </c>
      <c r="B28" s="76" t="s">
        <v>1</v>
      </c>
      <c r="C28" s="76" t="s">
        <v>1</v>
      </c>
      <c r="D28" s="76" t="s">
        <v>1</v>
      </c>
      <c r="E28" s="76" t="s">
        <v>1</v>
      </c>
      <c r="F28" s="76">
        <v>211955</v>
      </c>
      <c r="G28" s="76">
        <v>429813</v>
      </c>
      <c r="H28" s="76">
        <v>999620</v>
      </c>
      <c r="I28" s="174">
        <v>2329202</v>
      </c>
    </row>
    <row r="29" spans="1:9" ht="28.2" hidden="1" thickBot="1">
      <c r="A29" s="243" t="s">
        <v>169</v>
      </c>
      <c r="B29" s="261">
        <v>134785734</v>
      </c>
      <c r="C29" s="261">
        <v>159266552</v>
      </c>
      <c r="D29" s="261">
        <v>189309104</v>
      </c>
      <c r="E29" s="261">
        <v>239871183</v>
      </c>
      <c r="F29" s="261">
        <v>355954181</v>
      </c>
      <c r="G29" s="261">
        <v>404540606.76629996</v>
      </c>
      <c r="H29" s="261">
        <v>403433659</v>
      </c>
      <c r="I29" s="262">
        <v>608186002</v>
      </c>
    </row>
    <row r="30" spans="1:9" ht="14.4" hidden="1" thickBot="1"/>
    <row r="31" spans="1:9" ht="14.4" hidden="1" thickBot="1">
      <c r="A31" s="339" t="s">
        <v>112</v>
      </c>
      <c r="B31" s="340"/>
      <c r="C31" s="340"/>
      <c r="D31" s="340"/>
      <c r="E31" s="340"/>
      <c r="F31" s="340"/>
      <c r="G31" s="340"/>
      <c r="H31" s="341" t="s">
        <v>127</v>
      </c>
      <c r="I31" s="342"/>
    </row>
    <row r="32" spans="1:9" hidden="1">
      <c r="A32" s="188"/>
      <c r="B32" s="182">
        <v>2014</v>
      </c>
      <c r="C32" s="182">
        <v>2015</v>
      </c>
      <c r="D32" s="182">
        <v>2016</v>
      </c>
      <c r="E32" s="182">
        <v>2017</v>
      </c>
      <c r="F32" s="182">
        <v>2018</v>
      </c>
      <c r="G32" s="182">
        <v>2019</v>
      </c>
      <c r="H32" s="182">
        <v>2020</v>
      </c>
      <c r="I32" s="189">
        <v>2021</v>
      </c>
    </row>
    <row r="33" spans="1:19" hidden="1">
      <c r="A33" s="238" t="s">
        <v>210</v>
      </c>
      <c r="B33" s="10">
        <v>803332</v>
      </c>
      <c r="C33" s="10">
        <v>1049478</v>
      </c>
      <c r="D33" s="10">
        <v>1195186</v>
      </c>
      <c r="E33" s="10">
        <v>1390788</v>
      </c>
      <c r="F33" s="10">
        <v>2000179</v>
      </c>
      <c r="G33" s="10">
        <v>2521054</v>
      </c>
      <c r="H33" s="10">
        <v>1879008</v>
      </c>
      <c r="I33" s="69">
        <v>3329736</v>
      </c>
    </row>
    <row r="34" spans="1:19" hidden="1">
      <c r="A34" s="238" t="s">
        <v>211</v>
      </c>
      <c r="B34" s="10">
        <v>877547</v>
      </c>
      <c r="C34" s="10">
        <v>1096026</v>
      </c>
      <c r="D34" s="10">
        <v>1440566</v>
      </c>
      <c r="E34" s="10">
        <v>1716773</v>
      </c>
      <c r="F34" s="10">
        <v>2850053</v>
      </c>
      <c r="G34" s="10">
        <v>3975600</v>
      </c>
      <c r="H34" s="10">
        <v>3118614</v>
      </c>
      <c r="I34" s="69">
        <v>5404863</v>
      </c>
    </row>
    <row r="35" spans="1:19" hidden="1">
      <c r="A35" s="238" t="s">
        <v>212</v>
      </c>
      <c r="B35" s="10">
        <v>1072136</v>
      </c>
      <c r="C35" s="10">
        <v>1375984</v>
      </c>
      <c r="D35" s="10">
        <v>1471762</v>
      </c>
      <c r="E35" s="10">
        <v>1451193</v>
      </c>
      <c r="F35" s="10">
        <v>2191887</v>
      </c>
      <c r="G35" s="10">
        <v>2596001</v>
      </c>
      <c r="H35" s="10">
        <v>2022695</v>
      </c>
      <c r="I35" s="69">
        <v>3959119</v>
      </c>
    </row>
    <row r="36" spans="1:19" hidden="1">
      <c r="A36" s="238" t="s">
        <v>213</v>
      </c>
      <c r="B36" s="76" t="s">
        <v>1</v>
      </c>
      <c r="C36" s="76">
        <v>17976</v>
      </c>
      <c r="D36" s="76">
        <v>180885</v>
      </c>
      <c r="E36" s="76">
        <v>538306</v>
      </c>
      <c r="F36" s="76">
        <v>1462961</v>
      </c>
      <c r="G36" s="76">
        <v>2225532</v>
      </c>
      <c r="H36" s="76">
        <v>2122807</v>
      </c>
      <c r="I36" s="174">
        <v>4745377</v>
      </c>
    </row>
    <row r="37" spans="1:19" hidden="1">
      <c r="A37" s="238" t="s">
        <v>191</v>
      </c>
      <c r="B37" s="76" t="s">
        <v>1</v>
      </c>
      <c r="C37" s="76" t="s">
        <v>1</v>
      </c>
      <c r="D37" s="76">
        <v>42355</v>
      </c>
      <c r="E37" s="76">
        <v>438122</v>
      </c>
      <c r="F37" s="76">
        <v>1105272</v>
      </c>
      <c r="G37" s="76">
        <v>1643509</v>
      </c>
      <c r="H37" s="76">
        <v>1344967</v>
      </c>
      <c r="I37" s="174">
        <v>2973421</v>
      </c>
    </row>
    <row r="38" spans="1:19" hidden="1">
      <c r="A38" s="238" t="s">
        <v>214</v>
      </c>
      <c r="B38" s="76" t="s">
        <v>1</v>
      </c>
      <c r="C38" s="76" t="s">
        <v>1</v>
      </c>
      <c r="D38" s="76" t="s">
        <v>1</v>
      </c>
      <c r="E38" s="76" t="s">
        <v>1</v>
      </c>
      <c r="F38" s="76" t="s">
        <v>1</v>
      </c>
      <c r="G38" s="76">
        <v>212161</v>
      </c>
      <c r="H38" s="76">
        <v>371613</v>
      </c>
      <c r="I38" s="174">
        <v>532385</v>
      </c>
    </row>
    <row r="39" spans="1:19" ht="28.2" hidden="1" thickBot="1">
      <c r="A39" s="243" t="s">
        <v>169</v>
      </c>
      <c r="B39" s="261">
        <v>69895098</v>
      </c>
      <c r="C39" s="261">
        <v>83227489</v>
      </c>
      <c r="D39" s="261">
        <v>99244953</v>
      </c>
      <c r="E39" s="261">
        <v>128508395</v>
      </c>
      <c r="F39" s="261">
        <v>213154597</v>
      </c>
      <c r="G39" s="261">
        <v>245163105</v>
      </c>
      <c r="H39" s="261">
        <v>197919281</v>
      </c>
      <c r="I39" s="262">
        <v>353227364</v>
      </c>
    </row>
    <row r="40" spans="1:19" hidden="1">
      <c r="A40" s="182"/>
      <c r="B40" s="183"/>
      <c r="C40" s="183"/>
      <c r="D40" s="183"/>
      <c r="E40" s="183"/>
      <c r="F40" s="184"/>
      <c r="G40" s="185"/>
      <c r="H40" s="10"/>
      <c r="I40" s="10"/>
    </row>
    <row r="41" spans="1:19">
      <c r="A41" s="318" t="s">
        <v>223</v>
      </c>
      <c r="B41" s="318"/>
      <c r="C41" s="318"/>
      <c r="D41" s="318"/>
      <c r="E41" s="241"/>
      <c r="F41" s="241"/>
      <c r="G41" s="241"/>
    </row>
    <row r="42" spans="1:19" ht="14.4" thickBot="1">
      <c r="A42" s="208"/>
      <c r="B42" s="208"/>
      <c r="C42" s="208"/>
      <c r="D42" s="208"/>
      <c r="E42" s="208"/>
      <c r="F42" s="208"/>
      <c r="G42" s="349" t="s">
        <v>127</v>
      </c>
      <c r="H42" s="349" t="s">
        <v>127</v>
      </c>
      <c r="I42" s="349"/>
      <c r="K42" s="208"/>
      <c r="L42" s="208"/>
      <c r="M42" s="208"/>
      <c r="N42" s="208"/>
      <c r="O42" s="208"/>
      <c r="P42" s="208"/>
      <c r="Q42" s="349" t="s">
        <v>238</v>
      </c>
      <c r="R42" s="349" t="s">
        <v>127</v>
      </c>
      <c r="S42" s="349"/>
    </row>
    <row r="43" spans="1:19">
      <c r="A43" s="209"/>
      <c r="B43" s="210">
        <v>2014</v>
      </c>
      <c r="C43" s="210">
        <v>2015</v>
      </c>
      <c r="D43" s="210">
        <v>2016</v>
      </c>
      <c r="E43" s="210">
        <v>2017</v>
      </c>
      <c r="F43" s="210">
        <v>2018</v>
      </c>
      <c r="G43" s="210">
        <v>2019</v>
      </c>
      <c r="H43" s="210">
        <v>2020</v>
      </c>
      <c r="I43" s="211">
        <v>2021</v>
      </c>
      <c r="K43" s="209"/>
      <c r="L43" s="210">
        <v>2014</v>
      </c>
      <c r="M43" s="210">
        <v>2015</v>
      </c>
      <c r="N43" s="210">
        <v>2016</v>
      </c>
      <c r="O43" s="210">
        <v>2017</v>
      </c>
      <c r="P43" s="210">
        <v>2018</v>
      </c>
      <c r="Q43" s="210">
        <v>2019</v>
      </c>
      <c r="R43" s="210">
        <v>2020</v>
      </c>
      <c r="S43" s="211">
        <v>2021</v>
      </c>
    </row>
    <row r="44" spans="1:19">
      <c r="A44" s="200" t="s">
        <v>187</v>
      </c>
      <c r="B44" s="212">
        <v>252631</v>
      </c>
      <c r="C44" s="212">
        <v>302863</v>
      </c>
      <c r="D44" s="212">
        <v>217609</v>
      </c>
      <c r="E44" s="212">
        <v>237093</v>
      </c>
      <c r="F44" s="212">
        <v>133968</v>
      </c>
      <c r="G44" s="212">
        <v>63429</v>
      </c>
      <c r="H44" s="212">
        <v>254737</v>
      </c>
      <c r="I44" s="213">
        <v>104403</v>
      </c>
      <c r="K44" s="200" t="s">
        <v>187</v>
      </c>
      <c r="L44" s="212">
        <f t="shared" ref="L44:S49" si="0">B44/1000</f>
        <v>252.631</v>
      </c>
      <c r="M44" s="212">
        <f t="shared" si="0"/>
        <v>302.863</v>
      </c>
      <c r="N44" s="212">
        <f t="shared" si="0"/>
        <v>217.60900000000001</v>
      </c>
      <c r="O44" s="212">
        <f t="shared" si="0"/>
        <v>237.09299999999999</v>
      </c>
      <c r="P44" s="212">
        <f t="shared" si="0"/>
        <v>133.96799999999999</v>
      </c>
      <c r="Q44" s="212">
        <f t="shared" si="0"/>
        <v>63.429000000000002</v>
      </c>
      <c r="R44" s="212">
        <f t="shared" si="0"/>
        <v>254.73699999999999</v>
      </c>
      <c r="S44" s="212">
        <f t="shared" si="0"/>
        <v>104.40300000000001</v>
      </c>
    </row>
    <row r="45" spans="1:19">
      <c r="A45" s="200" t="s">
        <v>188</v>
      </c>
      <c r="B45" s="212">
        <v>370450</v>
      </c>
      <c r="C45" s="212">
        <v>444681</v>
      </c>
      <c r="D45" s="212">
        <v>541966</v>
      </c>
      <c r="E45" s="212">
        <v>673991</v>
      </c>
      <c r="F45" s="212">
        <v>869812</v>
      </c>
      <c r="G45" s="212">
        <v>1109838</v>
      </c>
      <c r="H45" s="212">
        <v>1400281</v>
      </c>
      <c r="I45" s="213">
        <v>2501727</v>
      </c>
      <c r="K45" s="200" t="s">
        <v>188</v>
      </c>
      <c r="L45" s="212">
        <f t="shared" si="0"/>
        <v>370.45</v>
      </c>
      <c r="M45" s="212">
        <f t="shared" si="0"/>
        <v>444.68099999999998</v>
      </c>
      <c r="N45" s="212">
        <f t="shared" si="0"/>
        <v>541.96600000000001</v>
      </c>
      <c r="O45" s="212">
        <f t="shared" si="0"/>
        <v>673.99099999999999</v>
      </c>
      <c r="P45" s="212">
        <f t="shared" si="0"/>
        <v>869.81200000000001</v>
      </c>
      <c r="Q45" s="212">
        <f t="shared" si="0"/>
        <v>1109.838</v>
      </c>
      <c r="R45" s="212">
        <f t="shared" si="0"/>
        <v>1400.2809999999999</v>
      </c>
      <c r="S45" s="212">
        <f t="shared" si="0"/>
        <v>2501.7269999999999</v>
      </c>
    </row>
    <row r="46" spans="1:19">
      <c r="A46" s="200" t="s">
        <v>189</v>
      </c>
      <c r="B46" s="212">
        <v>334228</v>
      </c>
      <c r="C46" s="212">
        <v>261076</v>
      </c>
      <c r="D46" s="212">
        <v>296243</v>
      </c>
      <c r="E46" s="212">
        <v>375360</v>
      </c>
      <c r="F46" s="212">
        <v>444750</v>
      </c>
      <c r="G46" s="212">
        <v>378174</v>
      </c>
      <c r="H46" s="212">
        <v>675677</v>
      </c>
      <c r="I46" s="213">
        <v>921048</v>
      </c>
      <c r="K46" s="200" t="s">
        <v>189</v>
      </c>
      <c r="L46" s="212">
        <f t="shared" si="0"/>
        <v>334.22800000000001</v>
      </c>
      <c r="M46" s="212">
        <f t="shared" si="0"/>
        <v>261.07600000000002</v>
      </c>
      <c r="N46" s="212">
        <f t="shared" si="0"/>
        <v>296.24299999999999</v>
      </c>
      <c r="O46" s="212">
        <f t="shared" si="0"/>
        <v>375.36</v>
      </c>
      <c r="P46" s="212">
        <f t="shared" si="0"/>
        <v>444.75</v>
      </c>
      <c r="Q46" s="212">
        <f t="shared" si="0"/>
        <v>378.17399999999998</v>
      </c>
      <c r="R46" s="212">
        <f t="shared" si="0"/>
        <v>675.67700000000002</v>
      </c>
      <c r="S46" s="212">
        <f t="shared" si="0"/>
        <v>921.048</v>
      </c>
    </row>
    <row r="47" spans="1:19">
      <c r="A47" s="200" t="s">
        <v>190</v>
      </c>
      <c r="B47" s="212"/>
      <c r="C47" s="212"/>
      <c r="D47" s="212">
        <v>11982</v>
      </c>
      <c r="E47" s="212">
        <v>158902</v>
      </c>
      <c r="F47" s="212">
        <v>325233</v>
      </c>
      <c r="G47" s="212">
        <v>516735</v>
      </c>
      <c r="H47" s="212">
        <v>638562</v>
      </c>
      <c r="I47" s="213">
        <v>558689</v>
      </c>
      <c r="K47" s="200" t="s">
        <v>190</v>
      </c>
      <c r="L47" s="212"/>
      <c r="M47" s="303"/>
      <c r="N47" s="303">
        <f t="shared" si="0"/>
        <v>11.981999999999999</v>
      </c>
      <c r="O47" s="303">
        <f t="shared" si="0"/>
        <v>158.90199999999999</v>
      </c>
      <c r="P47" s="303">
        <f t="shared" si="0"/>
        <v>325.233</v>
      </c>
      <c r="Q47" s="303">
        <f t="shared" si="0"/>
        <v>516.73500000000001</v>
      </c>
      <c r="R47" s="212">
        <f t="shared" si="0"/>
        <v>638.56200000000001</v>
      </c>
      <c r="S47" s="212">
        <f t="shared" si="0"/>
        <v>558.68899999999996</v>
      </c>
    </row>
    <row r="48" spans="1:19">
      <c r="A48" s="200" t="s">
        <v>191</v>
      </c>
      <c r="B48" s="212"/>
      <c r="C48" s="212"/>
      <c r="D48" s="212"/>
      <c r="E48" s="212">
        <v>138132</v>
      </c>
      <c r="F48" s="212">
        <v>325397</v>
      </c>
      <c r="G48" s="212">
        <v>324887</v>
      </c>
      <c r="H48" s="212">
        <v>666866</v>
      </c>
      <c r="I48" s="213">
        <v>1239361</v>
      </c>
      <c r="K48" s="200" t="s">
        <v>191</v>
      </c>
      <c r="L48" s="212"/>
      <c r="M48" s="303"/>
      <c r="N48" s="303"/>
      <c r="O48" s="303">
        <f t="shared" si="0"/>
        <v>138.13200000000001</v>
      </c>
      <c r="P48" s="303">
        <f t="shared" si="0"/>
        <v>325.39699999999999</v>
      </c>
      <c r="Q48" s="303">
        <f t="shared" si="0"/>
        <v>324.887</v>
      </c>
      <c r="R48" s="212">
        <f t="shared" si="0"/>
        <v>666.86599999999999</v>
      </c>
      <c r="S48" s="212">
        <f t="shared" si="0"/>
        <v>1239.3610000000001</v>
      </c>
    </row>
    <row r="49" spans="1:30" ht="14.4" thickBot="1">
      <c r="A49" s="222" t="s">
        <v>192</v>
      </c>
      <c r="B49" s="212"/>
      <c r="C49" s="212"/>
      <c r="D49" s="212"/>
      <c r="E49" s="212"/>
      <c r="F49" s="212"/>
      <c r="G49" s="212"/>
      <c r="H49" s="212">
        <v>80597</v>
      </c>
      <c r="I49" s="213">
        <v>143113</v>
      </c>
      <c r="K49" s="222" t="s">
        <v>192</v>
      </c>
      <c r="L49" s="212"/>
      <c r="M49" s="303"/>
      <c r="N49" s="303"/>
      <c r="O49" s="303"/>
      <c r="P49" s="303"/>
      <c r="Q49" s="303"/>
      <c r="R49" s="212">
        <f t="shared" si="0"/>
        <v>80.596999999999994</v>
      </c>
      <c r="S49" s="212">
        <f t="shared" si="0"/>
        <v>143.113</v>
      </c>
    </row>
    <row r="50" spans="1:30">
      <c r="A50" s="201" t="s">
        <v>0</v>
      </c>
      <c r="B50" s="203">
        <f>SUM(B44:B49)</f>
        <v>957309</v>
      </c>
      <c r="C50" s="203">
        <f t="shared" ref="C50" si="1">SUM(C44:C49)</f>
        <v>1008620</v>
      </c>
      <c r="D50" s="203">
        <f t="shared" ref="D50" si="2">SUM(D44:D49)</f>
        <v>1067800</v>
      </c>
      <c r="E50" s="203">
        <f t="shared" ref="E50" si="3">SUM(E44:E49)</f>
        <v>1583478</v>
      </c>
      <c r="F50" s="203">
        <f t="shared" ref="F50" si="4">SUM(F44:F49)</f>
        <v>2099160</v>
      </c>
      <c r="G50" s="203">
        <f t="shared" ref="G50" si="5">SUM(G44:G49)</f>
        <v>2393063</v>
      </c>
      <c r="H50" s="203">
        <f t="shared" ref="H50" si="6">SUM(H44:H49)</f>
        <v>3716720</v>
      </c>
      <c r="I50" s="204">
        <f t="shared" ref="I50" si="7">SUM(I44:I49)</f>
        <v>5468341</v>
      </c>
      <c r="K50" s="201" t="s">
        <v>0</v>
      </c>
      <c r="L50" s="203">
        <f>SUM(L44:L49)</f>
        <v>957.30899999999997</v>
      </c>
      <c r="M50" s="203">
        <f t="shared" ref="M50:S50" si="8">SUM(M44:M49)</f>
        <v>1008.62</v>
      </c>
      <c r="N50" s="203">
        <f t="shared" si="8"/>
        <v>1067.8</v>
      </c>
      <c r="O50" s="203">
        <f t="shared" si="8"/>
        <v>1583.4780000000001</v>
      </c>
      <c r="P50" s="203">
        <f t="shared" si="8"/>
        <v>2099.16</v>
      </c>
      <c r="Q50" s="203">
        <f t="shared" si="8"/>
        <v>2393.0630000000001</v>
      </c>
      <c r="R50" s="203">
        <f t="shared" si="8"/>
        <v>3716.7200000000003</v>
      </c>
      <c r="S50" s="204">
        <f t="shared" si="8"/>
        <v>5468.3410000000003</v>
      </c>
    </row>
    <row r="51" spans="1:30" ht="14.4" thickBot="1">
      <c r="A51" s="202" t="s">
        <v>129</v>
      </c>
      <c r="B51" s="205"/>
      <c r="C51" s="206">
        <f>(C50/B50)-1</f>
        <v>5.3599203600927181E-2</v>
      </c>
      <c r="D51" s="206">
        <f t="shared" ref="D51:I51" si="9">(D50/C50)-1</f>
        <v>5.8674228153318353E-2</v>
      </c>
      <c r="E51" s="206">
        <f t="shared" si="9"/>
        <v>0.48293500655553467</v>
      </c>
      <c r="F51" s="206">
        <f t="shared" si="9"/>
        <v>0.32566413931863902</v>
      </c>
      <c r="G51" s="206">
        <f t="shared" si="9"/>
        <v>0.14000981344918917</v>
      </c>
      <c r="H51" s="206">
        <f t="shared" si="9"/>
        <v>0.55312250450573175</v>
      </c>
      <c r="I51" s="207">
        <f t="shared" si="9"/>
        <v>0.47128139865257546</v>
      </c>
      <c r="K51" s="202" t="s">
        <v>129</v>
      </c>
      <c r="L51" s="205"/>
      <c r="M51" s="206">
        <f>(M50/L50)-1</f>
        <v>5.3599203600927181E-2</v>
      </c>
      <c r="N51" s="206">
        <f t="shared" ref="N51" si="10">(N50/M50)-1</f>
        <v>5.8674228153318353E-2</v>
      </c>
      <c r="O51" s="206">
        <f t="shared" ref="O51" si="11">(O50/N50)-1</f>
        <v>0.4829350065555349</v>
      </c>
      <c r="P51" s="206">
        <f t="shared" ref="P51" si="12">(P50/O50)-1</f>
        <v>0.32566413931863902</v>
      </c>
      <c r="Q51" s="206">
        <f t="shared" ref="Q51" si="13">(Q50/P50)-1</f>
        <v>0.14000981344918939</v>
      </c>
      <c r="R51" s="206">
        <f t="shared" ref="R51" si="14">(R50/Q50)-1</f>
        <v>0.55312250450573175</v>
      </c>
      <c r="S51" s="207">
        <f t="shared" ref="S51" si="15">(S50/R50)-1</f>
        <v>0.47128139865257546</v>
      </c>
    </row>
    <row r="52" spans="1:30" ht="27" thickBot="1">
      <c r="A52" s="249" t="s">
        <v>169</v>
      </c>
      <c r="B52" s="214">
        <v>24387769</v>
      </c>
      <c r="C52" s="214">
        <v>25373057</v>
      </c>
      <c r="D52" s="214">
        <v>36488767</v>
      </c>
      <c r="E52" s="214">
        <v>47096877</v>
      </c>
      <c r="F52" s="214">
        <v>51686788</v>
      </c>
      <c r="G52" s="214">
        <v>46743844.638640299</v>
      </c>
      <c r="H52" s="214">
        <v>54786103</v>
      </c>
      <c r="I52" s="215">
        <v>87483257</v>
      </c>
      <c r="K52" s="249" t="s">
        <v>169</v>
      </c>
      <c r="L52" s="214">
        <f>B52/1000</f>
        <v>24387.769</v>
      </c>
      <c r="M52" s="214">
        <f t="shared" ref="M52:S52" si="16">C52/1000</f>
        <v>25373.057000000001</v>
      </c>
      <c r="N52" s="214">
        <f t="shared" si="16"/>
        <v>36488.767</v>
      </c>
      <c r="O52" s="214">
        <f t="shared" si="16"/>
        <v>47096.877</v>
      </c>
      <c r="P52" s="214">
        <f t="shared" si="16"/>
        <v>51686.788</v>
      </c>
      <c r="Q52" s="214">
        <f t="shared" si="16"/>
        <v>46743.844638640301</v>
      </c>
      <c r="R52" s="214">
        <f t="shared" si="16"/>
        <v>54786.103000000003</v>
      </c>
      <c r="S52" s="215">
        <f t="shared" si="16"/>
        <v>87483.256999999998</v>
      </c>
    </row>
    <row r="53" spans="1:30" ht="14.4" thickBot="1">
      <c r="A53" s="202" t="s">
        <v>129</v>
      </c>
      <c r="B53" s="205"/>
      <c r="C53" s="206">
        <f>(C52/B52)-1</f>
        <v>4.0400907520486973E-2</v>
      </c>
      <c r="D53" s="206">
        <f t="shared" ref="D53" si="17">(D52/C52)-1</f>
        <v>0.43809108220582171</v>
      </c>
      <c r="E53" s="206">
        <f t="shared" ref="E53" si="18">(E52/D52)-1</f>
        <v>0.29072262156734419</v>
      </c>
      <c r="F53" s="206">
        <f t="shared" ref="F53" si="19">(F52/E52)-1</f>
        <v>9.745680164737891E-2</v>
      </c>
      <c r="G53" s="259">
        <f t="shared" ref="G53" si="20">(G52/F52)-1</f>
        <v>-9.5632627846011675E-2</v>
      </c>
      <c r="H53" s="206">
        <f t="shared" ref="H53" si="21">(H52/G52)-1</f>
        <v>0.17204956981034569</v>
      </c>
      <c r="I53" s="207">
        <f t="shared" ref="I53" si="22">(I52/H52)-1</f>
        <v>0.59681474333007412</v>
      </c>
      <c r="K53" s="202" t="s">
        <v>129</v>
      </c>
      <c r="L53" s="205"/>
      <c r="M53" s="206">
        <f>(M52/L52)-1</f>
        <v>4.0400907520486973E-2</v>
      </c>
      <c r="N53" s="206">
        <f t="shared" ref="N53" si="23">(N52/M52)-1</f>
        <v>0.43809108220582171</v>
      </c>
      <c r="O53" s="206">
        <f t="shared" ref="O53" si="24">(O52/N52)-1</f>
        <v>0.29072262156734419</v>
      </c>
      <c r="P53" s="206">
        <f t="shared" ref="P53" si="25">(P52/O52)-1</f>
        <v>9.745680164737891E-2</v>
      </c>
      <c r="Q53" s="259">
        <f t="shared" ref="Q53" si="26">(Q52/P52)-1</f>
        <v>-9.5632627846011675E-2</v>
      </c>
      <c r="R53" s="206">
        <f t="shared" ref="R53" si="27">(R52/Q52)-1</f>
        <v>0.17204956981034569</v>
      </c>
      <c r="S53" s="207">
        <f t="shared" ref="S53" si="28">(S52/R52)-1</f>
        <v>0.59681474333007389</v>
      </c>
    </row>
    <row r="54" spans="1:30">
      <c r="A54" s="176"/>
      <c r="B54" s="176"/>
      <c r="C54" s="176"/>
      <c r="D54" s="176"/>
      <c r="E54" s="176"/>
      <c r="F54" s="176"/>
      <c r="G54" s="176"/>
      <c r="H54" s="10"/>
      <c r="I54" s="10"/>
    </row>
    <row r="55" spans="1:30">
      <c r="A55" s="180"/>
      <c r="B55" s="180"/>
      <c r="C55" s="180"/>
      <c r="D55" s="180"/>
      <c r="E55" s="180"/>
      <c r="F55" s="180"/>
      <c r="G55" s="180"/>
      <c r="H55" s="181"/>
      <c r="I55" s="181"/>
      <c r="J55" s="179"/>
      <c r="K55" s="179"/>
      <c r="L55" s="179"/>
      <c r="M55" s="179"/>
      <c r="N55" s="179"/>
      <c r="O55" s="179"/>
      <c r="P55" s="179"/>
      <c r="Q55" s="179"/>
      <c r="R55" s="179"/>
      <c r="S55" s="179"/>
      <c r="T55" s="179"/>
      <c r="U55" s="179"/>
      <c r="V55" s="179"/>
      <c r="W55" s="179"/>
      <c r="X55" s="179"/>
      <c r="Y55" s="179"/>
      <c r="Z55" s="179"/>
      <c r="AA55" s="179"/>
      <c r="AB55" s="179"/>
      <c r="AC55" s="179"/>
      <c r="AD55" s="179"/>
    </row>
    <row r="56" spans="1:30">
      <c r="A56" s="318" t="s">
        <v>222</v>
      </c>
      <c r="B56" s="318"/>
      <c r="C56" s="307"/>
      <c r="D56" s="307"/>
      <c r="E56" s="241"/>
      <c r="F56" s="241"/>
      <c r="G56" s="241"/>
    </row>
    <row r="57" spans="1:30" ht="14.4" customHeight="1" thickBot="1">
      <c r="A57"/>
      <c r="B57"/>
      <c r="C57"/>
      <c r="D57"/>
      <c r="E57"/>
      <c r="F57"/>
      <c r="G57"/>
      <c r="H57" s="347" t="s">
        <v>128</v>
      </c>
      <c r="I57" s="347" t="s">
        <v>128</v>
      </c>
      <c r="J57" s="347"/>
      <c r="K57"/>
    </row>
    <row r="58" spans="1:30">
      <c r="A58" s="209"/>
      <c r="B58" s="210">
        <v>2014</v>
      </c>
      <c r="C58" s="210">
        <v>2015</v>
      </c>
      <c r="D58" s="210">
        <v>2016</v>
      </c>
      <c r="E58" s="210">
        <v>2017</v>
      </c>
      <c r="F58" s="210">
        <v>2018</v>
      </c>
      <c r="G58" s="210">
        <v>2019</v>
      </c>
      <c r="H58" s="210">
        <v>2020</v>
      </c>
      <c r="I58" s="216">
        <v>2021</v>
      </c>
      <c r="J58" s="217" t="s">
        <v>124</v>
      </c>
      <c r="K58" s="217" t="s">
        <v>125</v>
      </c>
    </row>
    <row r="59" spans="1:30" ht="14.4">
      <c r="A59" s="200" t="s">
        <v>187</v>
      </c>
      <c r="B59" s="218">
        <f t="shared" ref="B59:I61" si="29">B44/B3</f>
        <v>0.1410615843080148</v>
      </c>
      <c r="C59" s="218">
        <f t="shared" si="29"/>
        <v>0.14395217675247182</v>
      </c>
      <c r="D59" s="218">
        <f t="shared" si="29"/>
        <v>9.5459584232799446E-2</v>
      </c>
      <c r="E59" s="218">
        <f t="shared" si="29"/>
        <v>9.5543996266783157E-2</v>
      </c>
      <c r="F59" s="218">
        <f t="shared" si="29"/>
        <v>4.1076195840440345E-2</v>
      </c>
      <c r="G59" s="218">
        <f t="shared" si="29"/>
        <v>1.6596069681043265E-2</v>
      </c>
      <c r="H59" s="218">
        <f t="shared" si="29"/>
        <v>6.2987809536902847E-2</v>
      </c>
      <c r="I59" s="219">
        <f t="shared" si="29"/>
        <v>2.256458115267548E-2</v>
      </c>
      <c r="J59" s="234">
        <f>AVERAGE(B59:I59)</f>
        <v>7.7405249721391386E-2</v>
      </c>
      <c r="K59" s="221">
        <v>5</v>
      </c>
    </row>
    <row r="60" spans="1:30" ht="14.4">
      <c r="A60" s="200" t="s">
        <v>188</v>
      </c>
      <c r="B60" s="218">
        <f t="shared" si="29"/>
        <v>0.12254910068908025</v>
      </c>
      <c r="C60" s="218">
        <f t="shared" si="29"/>
        <v>0.13069281614347139</v>
      </c>
      <c r="D60" s="218">
        <f t="shared" si="29"/>
        <v>0.13853709959755259</v>
      </c>
      <c r="E60" s="218">
        <f t="shared" si="29"/>
        <v>0.14680218533435296</v>
      </c>
      <c r="F60" s="218">
        <f t="shared" si="29"/>
        <v>0.15993445315325602</v>
      </c>
      <c r="G60" s="218">
        <f t="shared" si="29"/>
        <v>0.16270206954989452</v>
      </c>
      <c r="H60" s="218">
        <f t="shared" si="29"/>
        <v>0.17514246543850562</v>
      </c>
      <c r="I60" s="219">
        <f t="shared" si="29"/>
        <v>0.23924281999565261</v>
      </c>
      <c r="J60" s="234">
        <f t="shared" ref="J60:J64" si="30">AVERAGE(B60:I60)</f>
        <v>0.15945037623772076</v>
      </c>
      <c r="K60" s="221">
        <v>2</v>
      </c>
    </row>
    <row r="61" spans="1:30" ht="14.4">
      <c r="A61" s="200" t="s">
        <v>189</v>
      </c>
      <c r="B61" s="218">
        <f t="shared" si="29"/>
        <v>0.10597470327507962</v>
      </c>
      <c r="C61" s="218">
        <f t="shared" si="29"/>
        <v>7.7776258454216374E-2</v>
      </c>
      <c r="D61" s="218">
        <f t="shared" si="29"/>
        <v>8.08741107732594E-2</v>
      </c>
      <c r="E61" s="218">
        <f t="shared" si="29"/>
        <v>9.2439586484552277E-2</v>
      </c>
      <c r="F61" s="218">
        <f t="shared" si="29"/>
        <v>0.10287563717549647</v>
      </c>
      <c r="G61" s="218">
        <f t="shared" si="29"/>
        <v>7.8344274042334919E-2</v>
      </c>
      <c r="H61" s="218">
        <f t="shared" si="29"/>
        <v>0.12295538989485928</v>
      </c>
      <c r="I61" s="219">
        <f t="shared" si="29"/>
        <v>0.14047231009545214</v>
      </c>
      <c r="J61" s="234">
        <f t="shared" si="30"/>
        <v>0.10021403377440632</v>
      </c>
      <c r="K61" s="221">
        <v>4</v>
      </c>
    </row>
    <row r="62" spans="1:30" ht="14.4">
      <c r="A62" s="200" t="s">
        <v>190</v>
      </c>
      <c r="B62" s="218"/>
      <c r="C62" s="305"/>
      <c r="D62" s="305">
        <f t="shared" ref="D62:I62" si="31">D47/D6</f>
        <v>1.5670508657230183E-2</v>
      </c>
      <c r="E62" s="305">
        <f t="shared" si="31"/>
        <v>0.11320378348071962</v>
      </c>
      <c r="F62" s="305">
        <f t="shared" si="31"/>
        <v>0.12779809949086349</v>
      </c>
      <c r="G62" s="305">
        <f t="shared" si="31"/>
        <v>0.16317116054297864</v>
      </c>
      <c r="H62" s="218">
        <f t="shared" si="31"/>
        <v>0.17100035267908908</v>
      </c>
      <c r="I62" s="219">
        <f t="shared" si="31"/>
        <v>0.12927423823996612</v>
      </c>
      <c r="J62" s="234">
        <f t="shared" si="30"/>
        <v>0.12001969051514118</v>
      </c>
      <c r="K62" s="221">
        <v>3</v>
      </c>
    </row>
    <row r="63" spans="1:30" ht="14.4">
      <c r="A63" s="200" t="s">
        <v>191</v>
      </c>
      <c r="B63" s="218"/>
      <c r="C63" s="305"/>
      <c r="D63" s="305"/>
      <c r="E63" s="305">
        <f>E48/E7</f>
        <v>0.12468081073396607</v>
      </c>
      <c r="F63" s="305">
        <f>F48/F7</f>
        <v>0.21306407827001372</v>
      </c>
      <c r="G63" s="305">
        <f>G48/G7</f>
        <v>0.16570008665303543</v>
      </c>
      <c r="H63" s="218">
        <f>H48/H7</f>
        <v>0.13897193453210813</v>
      </c>
      <c r="I63" s="219">
        <f>I48/I7</f>
        <v>0.14378206528542287</v>
      </c>
      <c r="J63" s="234">
        <f t="shared" si="30"/>
        <v>0.15723979509490923</v>
      </c>
      <c r="K63" s="221">
        <v>2</v>
      </c>
    </row>
    <row r="64" spans="1:30" ht="15" thickBot="1">
      <c r="A64" s="222" t="s">
        <v>192</v>
      </c>
      <c r="B64" s="223"/>
      <c r="C64" s="306"/>
      <c r="D64" s="306"/>
      <c r="E64" s="306"/>
      <c r="F64" s="306"/>
      <c r="G64" s="306"/>
      <c r="H64" s="223">
        <f>H49/H8</f>
        <v>5.236067060534047E-2</v>
      </c>
      <c r="I64" s="224">
        <f>I49/I8</f>
        <v>8.2799754458254715E-2</v>
      </c>
      <c r="J64" s="235">
        <f t="shared" si="30"/>
        <v>6.7580212531797593E-2</v>
      </c>
      <c r="K64" s="226">
        <v>5</v>
      </c>
    </row>
    <row r="65" spans="1:30" ht="15" thickBot="1">
      <c r="A65" s="260" t="s">
        <v>226</v>
      </c>
      <c r="B65" s="254">
        <v>0.1</v>
      </c>
      <c r="C65" s="254">
        <v>0.1</v>
      </c>
      <c r="D65" s="254">
        <v>0.1</v>
      </c>
      <c r="E65" s="254">
        <v>0.1</v>
      </c>
      <c r="F65" s="254">
        <v>0.1</v>
      </c>
      <c r="G65" s="254">
        <v>0.1</v>
      </c>
      <c r="H65" s="254">
        <v>0.1</v>
      </c>
      <c r="I65" s="254">
        <v>0.1</v>
      </c>
      <c r="J65" s="254">
        <v>0.1</v>
      </c>
      <c r="K65" s="233"/>
    </row>
    <row r="66" spans="1:30" ht="15" thickBot="1">
      <c r="A66" s="260" t="s">
        <v>226</v>
      </c>
      <c r="B66" s="254">
        <v>0.12</v>
      </c>
      <c r="C66" s="254">
        <v>0.12</v>
      </c>
      <c r="D66" s="254">
        <v>0.12</v>
      </c>
      <c r="E66" s="254">
        <v>0.12</v>
      </c>
      <c r="F66" s="254">
        <v>0.12</v>
      </c>
      <c r="G66" s="254">
        <v>0.12</v>
      </c>
      <c r="H66" s="254">
        <v>0.12</v>
      </c>
      <c r="I66" s="254">
        <v>0.12</v>
      </c>
      <c r="J66" s="254">
        <v>0.12</v>
      </c>
      <c r="K66" s="233"/>
    </row>
    <row r="67" spans="1:30">
      <c r="A67" s="176"/>
      <c r="B67" s="176"/>
      <c r="C67" s="176"/>
      <c r="D67" s="176"/>
      <c r="E67" s="176"/>
      <c r="F67" s="176"/>
      <c r="G67" s="176"/>
      <c r="H67" s="10"/>
      <c r="I67" s="10"/>
    </row>
    <row r="68" spans="1:30">
      <c r="A68" s="180"/>
      <c r="B68" s="180"/>
      <c r="C68" s="180"/>
      <c r="D68" s="180"/>
      <c r="E68" s="180"/>
      <c r="F68" s="180"/>
      <c r="G68" s="180"/>
      <c r="H68" s="181"/>
      <c r="I68" s="181"/>
      <c r="J68" s="179"/>
      <c r="K68" s="179"/>
      <c r="L68" s="179"/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  <c r="X68" s="179"/>
      <c r="Y68" s="179"/>
      <c r="Z68" s="179"/>
      <c r="AA68" s="179"/>
      <c r="AB68" s="179"/>
      <c r="AC68" s="179"/>
      <c r="AD68" s="179"/>
    </row>
    <row r="69" spans="1:30">
      <c r="A69" s="318" t="s">
        <v>224</v>
      </c>
      <c r="B69" s="318"/>
      <c r="C69" s="307"/>
      <c r="D69" s="307"/>
      <c r="E69" s="241"/>
      <c r="F69" s="241"/>
      <c r="G69" s="241"/>
    </row>
    <row r="70" spans="1:30" ht="14.4" customHeight="1" thickBot="1">
      <c r="A70"/>
      <c r="B70"/>
      <c r="C70"/>
      <c r="D70"/>
      <c r="E70"/>
      <c r="F70"/>
      <c r="G70"/>
      <c r="H70" s="347" t="s">
        <v>128</v>
      </c>
      <c r="I70" s="347" t="s">
        <v>128</v>
      </c>
      <c r="J70" s="347"/>
      <c r="K70"/>
    </row>
    <row r="71" spans="1:30">
      <c r="A71" s="209"/>
      <c r="B71" s="210">
        <v>2014</v>
      </c>
      <c r="C71" s="210">
        <v>2015</v>
      </c>
      <c r="D71" s="210">
        <v>2016</v>
      </c>
      <c r="E71" s="210">
        <v>2017</v>
      </c>
      <c r="F71" s="210">
        <v>2018</v>
      </c>
      <c r="G71" s="210">
        <v>2019</v>
      </c>
      <c r="H71" s="210">
        <v>2020</v>
      </c>
      <c r="I71" s="216">
        <v>2021</v>
      </c>
      <c r="J71" s="217" t="s">
        <v>124</v>
      </c>
      <c r="K71" s="217" t="s">
        <v>125</v>
      </c>
    </row>
    <row r="72" spans="1:30" ht="14.4">
      <c r="A72" s="200" t="s">
        <v>187</v>
      </c>
      <c r="B72" s="218">
        <f t="shared" ref="B72:I74" si="32">B44/B13</f>
        <v>1.0961830781209266E-2</v>
      </c>
      <c r="C72" s="218">
        <f t="shared" si="32"/>
        <v>1.0245010832995428E-2</v>
      </c>
      <c r="D72" s="218">
        <f t="shared" si="32"/>
        <v>6.6241738617866062E-3</v>
      </c>
      <c r="E72" s="218">
        <f t="shared" si="32"/>
        <v>6.5442738163050632E-3</v>
      </c>
      <c r="F72" s="218">
        <f t="shared" si="32"/>
        <v>3.172818874122968E-3</v>
      </c>
      <c r="G72" s="218">
        <f t="shared" si="32"/>
        <v>1.2342104960020523E-3</v>
      </c>
      <c r="H72" s="218">
        <f t="shared" si="32"/>
        <v>3.6750207553692053E-3</v>
      </c>
      <c r="I72" s="219">
        <f t="shared" si="32"/>
        <v>9.5822020227538998E-4</v>
      </c>
      <c r="J72" s="234">
        <f>AVERAGE(B72:I72)</f>
        <v>5.4269449525082471E-3</v>
      </c>
      <c r="K72" s="221">
        <v>4</v>
      </c>
    </row>
    <row r="73" spans="1:30" ht="14.4">
      <c r="A73" s="200" t="s">
        <v>188</v>
      </c>
      <c r="B73" s="218">
        <f t="shared" si="32"/>
        <v>1.1043841082808595E-2</v>
      </c>
      <c r="C73" s="218">
        <f t="shared" si="32"/>
        <v>1.057442306590663E-2</v>
      </c>
      <c r="D73" s="218">
        <f t="shared" si="32"/>
        <v>1.1179868867588734E-2</v>
      </c>
      <c r="E73" s="218">
        <f t="shared" si="32"/>
        <v>1.1798923010036483E-2</v>
      </c>
      <c r="F73" s="218">
        <f t="shared" si="32"/>
        <v>1.1717429031085851E-2</v>
      </c>
      <c r="G73" s="218">
        <f t="shared" si="32"/>
        <v>1.0626627350066203E-2</v>
      </c>
      <c r="H73" s="218">
        <f t="shared" si="32"/>
        <v>9.1948132092313298E-3</v>
      </c>
      <c r="I73" s="219">
        <f t="shared" si="32"/>
        <v>9.8466727012654007E-3</v>
      </c>
      <c r="J73" s="234">
        <f t="shared" ref="J73:J77" si="33">AVERAGE(B73:I73)</f>
        <v>1.0747824789748655E-2</v>
      </c>
      <c r="K73" s="221">
        <v>3</v>
      </c>
    </row>
    <row r="74" spans="1:30" ht="14.4">
      <c r="A74" s="200" t="s">
        <v>189</v>
      </c>
      <c r="B74" s="218">
        <f t="shared" si="32"/>
        <v>9.9785071051348585E-3</v>
      </c>
      <c r="C74" s="218">
        <f t="shared" si="32"/>
        <v>6.7677824666383885E-3</v>
      </c>
      <c r="D74" s="218">
        <f t="shared" si="32"/>
        <v>7.6336106037879015E-3</v>
      </c>
      <c r="E74" s="218">
        <f t="shared" si="32"/>
        <v>9.6046925432648079E-3</v>
      </c>
      <c r="F74" s="218">
        <f t="shared" si="32"/>
        <v>9.4522108545852749E-3</v>
      </c>
      <c r="G74" s="218">
        <f t="shared" si="32"/>
        <v>7.2132878583931574E-3</v>
      </c>
      <c r="H74" s="218">
        <f t="shared" si="32"/>
        <v>8.3036767159609132E-3</v>
      </c>
      <c r="I74" s="219">
        <f t="shared" si="32"/>
        <v>7.9645625357354366E-3</v>
      </c>
      <c r="J74" s="234">
        <f t="shared" si="33"/>
        <v>8.3647913354375925E-3</v>
      </c>
      <c r="K74" s="221">
        <v>4</v>
      </c>
    </row>
    <row r="75" spans="1:30" ht="14.4">
      <c r="A75" s="200" t="s">
        <v>190</v>
      </c>
      <c r="B75" s="218"/>
      <c r="C75" s="305"/>
      <c r="D75" s="305">
        <f t="shared" ref="D75:I75" si="34">D47/D16</f>
        <v>1.5053696164850411E-3</v>
      </c>
      <c r="E75" s="305">
        <f t="shared" si="34"/>
        <v>1.1073199758357809E-2</v>
      </c>
      <c r="F75" s="305">
        <f t="shared" si="34"/>
        <v>1.2765571121273338E-2</v>
      </c>
      <c r="G75" s="305">
        <f t="shared" si="34"/>
        <v>1.4199069283412417E-2</v>
      </c>
      <c r="H75" s="218">
        <f t="shared" si="34"/>
        <v>1.0609634014630004E-2</v>
      </c>
      <c r="I75" s="219">
        <f t="shared" si="34"/>
        <v>5.6827817132519502E-3</v>
      </c>
      <c r="J75" s="234">
        <f t="shared" si="33"/>
        <v>9.3059375845684269E-3</v>
      </c>
      <c r="K75" s="221">
        <v>4</v>
      </c>
    </row>
    <row r="76" spans="1:30" ht="14.4">
      <c r="A76" s="200" t="s">
        <v>191</v>
      </c>
      <c r="B76" s="218"/>
      <c r="C76" s="305"/>
      <c r="D76" s="305"/>
      <c r="E76" s="305">
        <f>E48/E17</f>
        <v>1.0456508993656011E-2</v>
      </c>
      <c r="F76" s="305">
        <f>F48/F17</f>
        <v>1.5527990917139129E-2</v>
      </c>
      <c r="G76" s="305">
        <f>G48/G17</f>
        <v>1.0705107657690668E-2</v>
      </c>
      <c r="H76" s="218">
        <f>H48/H17</f>
        <v>1.2545066909306036E-2</v>
      </c>
      <c r="I76" s="219">
        <f>I48/I17</f>
        <v>1.2300484752010395E-2</v>
      </c>
      <c r="J76" s="234">
        <f t="shared" si="33"/>
        <v>1.2307031845960447E-2</v>
      </c>
      <c r="K76" s="221">
        <v>3</v>
      </c>
    </row>
    <row r="77" spans="1:30" ht="15" thickBot="1">
      <c r="A77" s="222" t="s">
        <v>192</v>
      </c>
      <c r="B77" s="223"/>
      <c r="C77" s="306"/>
      <c r="D77" s="306"/>
      <c r="E77" s="306"/>
      <c r="F77" s="306"/>
      <c r="G77" s="306"/>
      <c r="H77" s="223">
        <f>H49/H18</f>
        <v>3.9527366535366511E-3</v>
      </c>
      <c r="I77" s="224">
        <f>I49/I18</f>
        <v>3.6922953877589985E-3</v>
      </c>
      <c r="J77" s="235">
        <f t="shared" si="33"/>
        <v>3.8225160206478248E-3</v>
      </c>
      <c r="K77" s="226">
        <v>5</v>
      </c>
    </row>
    <row r="78" spans="1:30" ht="15" thickBot="1">
      <c r="A78" s="260" t="s">
        <v>227</v>
      </c>
      <c r="B78" s="254">
        <v>0.01</v>
      </c>
      <c r="C78" s="254">
        <v>0.01</v>
      </c>
      <c r="D78" s="254">
        <v>0.01</v>
      </c>
      <c r="E78" s="254">
        <v>0.01</v>
      </c>
      <c r="F78" s="254">
        <v>0.01</v>
      </c>
      <c r="G78" s="254">
        <v>0.01</v>
      </c>
      <c r="H78" s="254">
        <v>0.01</v>
      </c>
      <c r="I78" s="254">
        <v>0.01</v>
      </c>
      <c r="J78" s="254">
        <v>0.01</v>
      </c>
      <c r="K78" s="233"/>
    </row>
    <row r="79" spans="1:30" ht="15" thickBot="1">
      <c r="A79" s="260" t="s">
        <v>227</v>
      </c>
      <c r="B79" s="254">
        <v>0.02</v>
      </c>
      <c r="C79" s="254">
        <v>0.02</v>
      </c>
      <c r="D79" s="254">
        <v>0.02</v>
      </c>
      <c r="E79" s="254">
        <v>0.02</v>
      </c>
      <c r="F79" s="254">
        <v>0.02</v>
      </c>
      <c r="G79" s="254">
        <v>0.02</v>
      </c>
      <c r="H79" s="254">
        <v>0.02</v>
      </c>
      <c r="I79" s="254">
        <v>0.02</v>
      </c>
      <c r="J79" s="254">
        <v>0.02</v>
      </c>
      <c r="K79" s="233"/>
    </row>
    <row r="80" spans="1:30">
      <c r="A80" s="176"/>
      <c r="B80" s="176"/>
      <c r="C80" s="176"/>
      <c r="D80" s="176"/>
      <c r="E80" s="176"/>
      <c r="F80" s="176"/>
      <c r="G80" s="176"/>
      <c r="H80" s="10"/>
      <c r="I80" s="10"/>
    </row>
    <row r="81" spans="1:30">
      <c r="A81" s="180"/>
      <c r="B81" s="180"/>
      <c r="C81" s="180"/>
      <c r="D81" s="180"/>
      <c r="E81" s="180"/>
      <c r="F81" s="180"/>
      <c r="G81" s="180"/>
      <c r="H81" s="181"/>
      <c r="I81" s="181"/>
      <c r="J81" s="179"/>
      <c r="K81" s="179"/>
      <c r="L81" s="179"/>
      <c r="M81" s="179"/>
      <c r="N81" s="179"/>
      <c r="O81" s="179"/>
      <c r="P81" s="179"/>
      <c r="Q81" s="179"/>
      <c r="R81" s="179"/>
      <c r="S81" s="179"/>
      <c r="T81" s="179"/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</row>
    <row r="82" spans="1:30">
      <c r="A82" s="318" t="s">
        <v>228</v>
      </c>
      <c r="B82" s="318"/>
      <c r="C82" s="318"/>
      <c r="D82" s="318"/>
      <c r="E82" s="320"/>
      <c r="F82" s="241"/>
      <c r="G82" s="241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</row>
    <row r="83" spans="1:30" s="16" customFormat="1" ht="14.4" thickBot="1">
      <c r="A83" s="208"/>
      <c r="B83" s="208"/>
      <c r="C83" s="208"/>
      <c r="D83" s="208"/>
      <c r="E83" s="208"/>
      <c r="F83" s="208"/>
      <c r="G83" s="349" t="s">
        <v>127</v>
      </c>
      <c r="H83" s="349"/>
      <c r="I83" s="349"/>
      <c r="K83" s="208"/>
      <c r="L83" s="208"/>
      <c r="M83" s="208"/>
      <c r="N83" s="208"/>
      <c r="O83" s="208"/>
      <c r="P83" s="208"/>
      <c r="Q83" s="349" t="s">
        <v>238</v>
      </c>
      <c r="R83" s="349" t="s">
        <v>127</v>
      </c>
      <c r="S83" s="349"/>
    </row>
    <row r="84" spans="1:30" s="16" customFormat="1">
      <c r="A84" s="209"/>
      <c r="B84" s="210">
        <v>2014</v>
      </c>
      <c r="C84" s="210">
        <v>2015</v>
      </c>
      <c r="D84" s="210">
        <v>2016</v>
      </c>
      <c r="E84" s="210">
        <v>2017</v>
      </c>
      <c r="F84" s="210">
        <v>2018</v>
      </c>
      <c r="G84" s="210">
        <v>2019</v>
      </c>
      <c r="H84" s="210">
        <v>2020</v>
      </c>
      <c r="I84" s="211">
        <v>2021</v>
      </c>
      <c r="K84" s="209"/>
      <c r="L84" s="210">
        <v>2014</v>
      </c>
      <c r="M84" s="210">
        <v>2015</v>
      </c>
      <c r="N84" s="210">
        <v>2016</v>
      </c>
      <c r="O84" s="210">
        <v>2017</v>
      </c>
      <c r="P84" s="210">
        <v>2018</v>
      </c>
      <c r="Q84" s="210">
        <v>2019</v>
      </c>
      <c r="R84" s="210">
        <v>2020</v>
      </c>
      <c r="S84" s="211">
        <v>2021</v>
      </c>
    </row>
    <row r="85" spans="1:30" s="16" customFormat="1">
      <c r="A85" s="200" t="s">
        <v>187</v>
      </c>
      <c r="B85" s="212">
        <v>977566</v>
      </c>
      <c r="C85" s="212">
        <v>1188174</v>
      </c>
      <c r="D85" s="212">
        <v>1356320</v>
      </c>
      <c r="E85" s="212">
        <v>1583765</v>
      </c>
      <c r="F85" s="212">
        <v>1937322</v>
      </c>
      <c r="G85" s="212">
        <v>1989852</v>
      </c>
      <c r="H85" s="212">
        <v>2768130</v>
      </c>
      <c r="I85" s="213">
        <v>3379044</v>
      </c>
      <c r="K85" s="200" t="s">
        <v>187</v>
      </c>
      <c r="L85" s="212">
        <f>B85/1000</f>
        <v>977.56600000000003</v>
      </c>
      <c r="M85" s="212">
        <f t="shared" ref="M85:S90" si="35">C85/1000</f>
        <v>1188.174</v>
      </c>
      <c r="N85" s="212">
        <f t="shared" si="35"/>
        <v>1356.32</v>
      </c>
      <c r="O85" s="212">
        <f t="shared" si="35"/>
        <v>1583.7650000000001</v>
      </c>
      <c r="P85" s="212">
        <f t="shared" si="35"/>
        <v>1937.3219999999999</v>
      </c>
      <c r="Q85" s="212">
        <f t="shared" si="35"/>
        <v>1989.8520000000001</v>
      </c>
      <c r="R85" s="212">
        <f t="shared" si="35"/>
        <v>2768.13</v>
      </c>
      <c r="S85" s="212">
        <f t="shared" si="35"/>
        <v>3379.0439999999999</v>
      </c>
    </row>
    <row r="86" spans="1:30" s="16" customFormat="1">
      <c r="A86" s="200" t="s">
        <v>188</v>
      </c>
      <c r="B86" s="212">
        <v>1569700</v>
      </c>
      <c r="C86" s="212">
        <v>1989599</v>
      </c>
      <c r="D86" s="212">
        <v>2291992</v>
      </c>
      <c r="E86" s="212">
        <v>2852316</v>
      </c>
      <c r="F86" s="212">
        <v>4608540</v>
      </c>
      <c r="G86" s="212">
        <v>6025234</v>
      </c>
      <c r="H86" s="212">
        <v>7779292</v>
      </c>
      <c r="I86" s="213">
        <v>11300470</v>
      </c>
      <c r="K86" s="200" t="s">
        <v>188</v>
      </c>
      <c r="L86" s="212">
        <f t="shared" ref="L86:L87" si="36">B86/1000</f>
        <v>1569.7</v>
      </c>
      <c r="M86" s="212">
        <f t="shared" si="35"/>
        <v>1989.5989999999999</v>
      </c>
      <c r="N86" s="212">
        <f t="shared" si="35"/>
        <v>2291.9920000000002</v>
      </c>
      <c r="O86" s="212">
        <f t="shared" si="35"/>
        <v>2852.3159999999998</v>
      </c>
      <c r="P86" s="212">
        <f t="shared" si="35"/>
        <v>4608.54</v>
      </c>
      <c r="Q86" s="212">
        <f t="shared" si="35"/>
        <v>6025.2340000000004</v>
      </c>
      <c r="R86" s="212">
        <f t="shared" si="35"/>
        <v>7779.2920000000004</v>
      </c>
      <c r="S86" s="212">
        <f t="shared" si="35"/>
        <v>11300.47</v>
      </c>
    </row>
    <row r="87" spans="1:30" s="16" customFormat="1">
      <c r="A87" s="200" t="s">
        <v>189</v>
      </c>
      <c r="B87" s="212">
        <v>1443288</v>
      </c>
      <c r="C87" s="212">
        <v>1691839</v>
      </c>
      <c r="D87" s="212">
        <v>2065634</v>
      </c>
      <c r="E87" s="212">
        <v>1914055</v>
      </c>
      <c r="F87" s="212">
        <v>2578511</v>
      </c>
      <c r="G87" s="212">
        <v>2919452</v>
      </c>
      <c r="H87" s="212">
        <v>3590918</v>
      </c>
      <c r="I87" s="213">
        <v>4161348</v>
      </c>
      <c r="K87" s="200" t="s">
        <v>189</v>
      </c>
      <c r="L87" s="212">
        <f t="shared" si="36"/>
        <v>1443.288</v>
      </c>
      <c r="M87" s="212">
        <f t="shared" si="35"/>
        <v>1691.8389999999999</v>
      </c>
      <c r="N87" s="212">
        <f t="shared" si="35"/>
        <v>2065.634</v>
      </c>
      <c r="O87" s="212">
        <f t="shared" si="35"/>
        <v>1914.0550000000001</v>
      </c>
      <c r="P87" s="212">
        <f t="shared" si="35"/>
        <v>2578.511</v>
      </c>
      <c r="Q87" s="212">
        <f t="shared" si="35"/>
        <v>2919.4520000000002</v>
      </c>
      <c r="R87" s="212">
        <f t="shared" si="35"/>
        <v>3590.9180000000001</v>
      </c>
      <c r="S87" s="212">
        <f t="shared" si="35"/>
        <v>4161.348</v>
      </c>
    </row>
    <row r="88" spans="1:30" s="16" customFormat="1">
      <c r="A88" s="200" t="s">
        <v>190</v>
      </c>
      <c r="B88" s="212"/>
      <c r="C88" s="212"/>
      <c r="D88" s="212">
        <v>232831</v>
      </c>
      <c r="E88" s="212">
        <v>487648</v>
      </c>
      <c r="F88" s="212">
        <v>1117342</v>
      </c>
      <c r="G88" s="212">
        <v>1709625</v>
      </c>
      <c r="H88" s="212">
        <v>2512637</v>
      </c>
      <c r="I88" s="213">
        <v>2428324</v>
      </c>
      <c r="K88" s="200" t="s">
        <v>190</v>
      </c>
      <c r="L88" s="212"/>
      <c r="M88" s="303"/>
      <c r="N88" s="303">
        <f t="shared" si="35"/>
        <v>232.83099999999999</v>
      </c>
      <c r="O88" s="303">
        <f t="shared" si="35"/>
        <v>487.64800000000002</v>
      </c>
      <c r="P88" s="303">
        <f t="shared" si="35"/>
        <v>1117.3420000000001</v>
      </c>
      <c r="Q88" s="303">
        <f t="shared" si="35"/>
        <v>1709.625</v>
      </c>
      <c r="R88" s="212">
        <f t="shared" si="35"/>
        <v>2512.6370000000002</v>
      </c>
      <c r="S88" s="212">
        <f t="shared" si="35"/>
        <v>2428.3240000000001</v>
      </c>
    </row>
    <row r="89" spans="1:30" s="16" customFormat="1">
      <c r="A89" s="200" t="s">
        <v>191</v>
      </c>
      <c r="B89" s="212"/>
      <c r="C89" s="212"/>
      <c r="D89" s="212"/>
      <c r="E89" s="212">
        <v>456920</v>
      </c>
      <c r="F89" s="212">
        <v>972211</v>
      </c>
      <c r="G89" s="212">
        <v>1392541</v>
      </c>
      <c r="H89" s="212">
        <v>2282223</v>
      </c>
      <c r="I89" s="213">
        <v>3609511</v>
      </c>
      <c r="K89" s="200" t="s">
        <v>191</v>
      </c>
      <c r="L89" s="212"/>
      <c r="M89" s="303"/>
      <c r="N89" s="303"/>
      <c r="O89" s="303">
        <f t="shared" si="35"/>
        <v>456.92</v>
      </c>
      <c r="P89" s="303">
        <f t="shared" si="35"/>
        <v>972.21100000000001</v>
      </c>
      <c r="Q89" s="303">
        <f t="shared" si="35"/>
        <v>1392.5409999999999</v>
      </c>
      <c r="R89" s="212">
        <f t="shared" si="35"/>
        <v>2282.223</v>
      </c>
      <c r="S89" s="212">
        <f t="shared" si="35"/>
        <v>3609.511</v>
      </c>
    </row>
    <row r="90" spans="1:30" s="16" customFormat="1" ht="14.4" thickBot="1">
      <c r="A90" s="222" t="s">
        <v>192</v>
      </c>
      <c r="B90" s="212"/>
      <c r="C90" s="212"/>
      <c r="D90" s="212"/>
      <c r="E90" s="212"/>
      <c r="F90" s="212"/>
      <c r="G90" s="212"/>
      <c r="H90" s="212">
        <v>500377</v>
      </c>
      <c r="I90" s="213">
        <v>801333</v>
      </c>
      <c r="K90" s="222" t="s">
        <v>192</v>
      </c>
      <c r="L90" s="212"/>
      <c r="M90" s="303"/>
      <c r="N90" s="303"/>
      <c r="O90" s="303"/>
      <c r="P90" s="303"/>
      <c r="Q90" s="303"/>
      <c r="R90" s="212">
        <f t="shared" si="35"/>
        <v>500.37700000000001</v>
      </c>
      <c r="S90" s="212">
        <f t="shared" si="35"/>
        <v>801.33299999999997</v>
      </c>
    </row>
    <row r="91" spans="1:30" s="16" customFormat="1">
      <c r="A91" s="201" t="s">
        <v>0</v>
      </c>
      <c r="B91" s="203">
        <f>SUM(B85:B90)</f>
        <v>3990554</v>
      </c>
      <c r="C91" s="203">
        <f t="shared" ref="C91:I91" si="37">SUM(C85:C90)</f>
        <v>4869612</v>
      </c>
      <c r="D91" s="203">
        <f t="shared" si="37"/>
        <v>5946777</v>
      </c>
      <c r="E91" s="203">
        <f t="shared" si="37"/>
        <v>7294704</v>
      </c>
      <c r="F91" s="203">
        <f t="shared" si="37"/>
        <v>11213926</v>
      </c>
      <c r="G91" s="203">
        <f t="shared" si="37"/>
        <v>14036704</v>
      </c>
      <c r="H91" s="203">
        <f t="shared" si="37"/>
        <v>19433577</v>
      </c>
      <c r="I91" s="204">
        <f t="shared" si="37"/>
        <v>25680030</v>
      </c>
      <c r="K91" s="201" t="s">
        <v>0</v>
      </c>
      <c r="L91" s="203">
        <f>SUM(L85:L90)</f>
        <v>3990.5540000000001</v>
      </c>
      <c r="M91" s="203">
        <f t="shared" ref="M91:S91" si="38">SUM(M85:M90)</f>
        <v>4869.6120000000001</v>
      </c>
      <c r="N91" s="203">
        <f t="shared" si="38"/>
        <v>5946.777</v>
      </c>
      <c r="O91" s="203">
        <f t="shared" si="38"/>
        <v>7294.7040000000006</v>
      </c>
      <c r="P91" s="203">
        <f t="shared" si="38"/>
        <v>11213.925999999999</v>
      </c>
      <c r="Q91" s="203">
        <f t="shared" si="38"/>
        <v>14036.704</v>
      </c>
      <c r="R91" s="203">
        <f t="shared" si="38"/>
        <v>19433.576999999997</v>
      </c>
      <c r="S91" s="204">
        <f t="shared" si="38"/>
        <v>25680.03</v>
      </c>
    </row>
    <row r="92" spans="1:30" s="16" customFormat="1" ht="14.4" thickBot="1">
      <c r="A92" s="202" t="s">
        <v>129</v>
      </c>
      <c r="B92" s="205"/>
      <c r="C92" s="206">
        <f>(C91/B91)-1</f>
        <v>0.22028470232453934</v>
      </c>
      <c r="D92" s="206">
        <f t="shared" ref="D92:I92" si="39">(D91/C91)-1</f>
        <v>0.22120140167224811</v>
      </c>
      <c r="E92" s="206">
        <f t="shared" si="39"/>
        <v>0.22666513306283376</v>
      </c>
      <c r="F92" s="206">
        <f t="shared" si="39"/>
        <v>0.53726950401277418</v>
      </c>
      <c r="G92" s="206">
        <f t="shared" si="39"/>
        <v>0.25172076220228323</v>
      </c>
      <c r="H92" s="206">
        <f t="shared" si="39"/>
        <v>0.38448292419644958</v>
      </c>
      <c r="I92" s="206">
        <f t="shared" si="39"/>
        <v>0.32142579824599449</v>
      </c>
      <c r="K92" s="202" t="s">
        <v>129</v>
      </c>
      <c r="L92" s="205"/>
      <c r="M92" s="206">
        <f>(M91/L91)-1</f>
        <v>0.22028470232453934</v>
      </c>
      <c r="N92" s="206">
        <f t="shared" ref="N92" si="40">(N91/M91)-1</f>
        <v>0.22120140167224811</v>
      </c>
      <c r="O92" s="206">
        <f t="shared" ref="O92" si="41">(O91/N91)-1</f>
        <v>0.22666513306283398</v>
      </c>
      <c r="P92" s="206">
        <f t="shared" ref="P92" si="42">(P91/O91)-1</f>
        <v>0.53726950401277396</v>
      </c>
      <c r="Q92" s="206">
        <f t="shared" ref="Q92" si="43">(Q91/P91)-1</f>
        <v>0.25172076220228323</v>
      </c>
      <c r="R92" s="206">
        <f t="shared" ref="R92" si="44">(R91/Q91)-1</f>
        <v>0.38448292419644936</v>
      </c>
      <c r="S92" s="206">
        <f t="shared" ref="S92" si="45">(S91/R91)-1</f>
        <v>0.32142579824599471</v>
      </c>
    </row>
    <row r="93" spans="1:30" s="16" customFormat="1" ht="27" thickBot="1">
      <c r="A93" s="249" t="s">
        <v>169</v>
      </c>
      <c r="B93" s="214">
        <v>88993843</v>
      </c>
      <c r="C93" s="214">
        <v>99186794</v>
      </c>
      <c r="D93" s="214">
        <v>121107843</v>
      </c>
      <c r="E93" s="214">
        <v>138813711</v>
      </c>
      <c r="F93" s="214">
        <v>150154448</v>
      </c>
      <c r="G93" s="214">
        <v>198989749</v>
      </c>
      <c r="H93" s="214">
        <v>252806601</v>
      </c>
      <c r="I93" s="215">
        <v>329345215</v>
      </c>
      <c r="K93" s="249" t="s">
        <v>169</v>
      </c>
      <c r="L93" s="214">
        <f>B93/1000</f>
        <v>88993.842999999993</v>
      </c>
      <c r="M93" s="214">
        <f t="shared" ref="M93" si="46">C93/1000</f>
        <v>99186.793999999994</v>
      </c>
      <c r="N93" s="214">
        <f t="shared" ref="N93" si="47">D93/1000</f>
        <v>121107.84299999999</v>
      </c>
      <c r="O93" s="214">
        <f t="shared" ref="O93" si="48">E93/1000</f>
        <v>138813.71100000001</v>
      </c>
      <c r="P93" s="214">
        <f t="shared" ref="P93" si="49">F93/1000</f>
        <v>150154.448</v>
      </c>
      <c r="Q93" s="214">
        <f t="shared" ref="Q93" si="50">G93/1000</f>
        <v>198989.74900000001</v>
      </c>
      <c r="R93" s="214">
        <f t="shared" ref="R93" si="51">H93/1000</f>
        <v>252806.601</v>
      </c>
      <c r="S93" s="215">
        <f t="shared" ref="S93" si="52">I93/1000</f>
        <v>329345.21500000003</v>
      </c>
    </row>
    <row r="94" spans="1:30" s="16" customFormat="1" ht="14.4" thickBot="1">
      <c r="A94" s="202" t="s">
        <v>129</v>
      </c>
      <c r="B94" s="205"/>
      <c r="C94" s="206">
        <f>(C93/B93)-1</f>
        <v>0.1145354628634252</v>
      </c>
      <c r="D94" s="206">
        <f t="shared" ref="D94" si="53">(D93/C93)-1</f>
        <v>0.22100773818740427</v>
      </c>
      <c r="E94" s="206">
        <f t="shared" ref="E94" si="54">(E93/D93)-1</f>
        <v>0.14619918546480926</v>
      </c>
      <c r="F94" s="206">
        <f t="shared" ref="F94" si="55">(F93/E93)-1</f>
        <v>8.1697527703153083E-2</v>
      </c>
      <c r="G94" s="206">
        <f t="shared" ref="G94" si="56">(G93/F93)-1</f>
        <v>0.32523379527191887</v>
      </c>
      <c r="H94" s="206">
        <f t="shared" ref="H94" si="57">(H93/G93)-1</f>
        <v>0.2704503738029238</v>
      </c>
      <c r="I94" s="207">
        <f t="shared" ref="I94" si="58">(I93/H93)-1</f>
        <v>0.30275559932867413</v>
      </c>
      <c r="K94" s="202" t="s">
        <v>129</v>
      </c>
      <c r="L94" s="205"/>
      <c r="M94" s="206">
        <f>(M93/L93)-1</f>
        <v>0.1145354628634252</v>
      </c>
      <c r="N94" s="206">
        <f t="shared" ref="N94" si="59">(N93/M93)-1</f>
        <v>0.22100773818740427</v>
      </c>
      <c r="O94" s="206">
        <f t="shared" ref="O94" si="60">(O93/N93)-1</f>
        <v>0.14619918546480948</v>
      </c>
      <c r="P94" s="206">
        <f t="shared" ref="P94" si="61">(P93/O93)-1</f>
        <v>8.1697527703153083E-2</v>
      </c>
      <c r="Q94" s="206">
        <f t="shared" ref="Q94" si="62">(Q93/P93)-1</f>
        <v>0.32523379527191909</v>
      </c>
      <c r="R94" s="206">
        <f t="shared" ref="R94" si="63">(R93/Q93)-1</f>
        <v>0.2704503738029238</v>
      </c>
      <c r="S94" s="207">
        <f t="shared" ref="S94" si="64">(S93/R93)-1</f>
        <v>0.30275559932867435</v>
      </c>
    </row>
    <row r="95" spans="1:30">
      <c r="A95" s="180"/>
      <c r="B95" s="180"/>
      <c r="C95" s="180"/>
      <c r="D95" s="180"/>
      <c r="E95" s="180"/>
      <c r="F95" s="180"/>
      <c r="G95" s="180"/>
      <c r="H95" s="181"/>
      <c r="I95" s="181"/>
      <c r="J95" s="179"/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</row>
    <row r="96" spans="1:30" s="16" customFormat="1">
      <c r="A96" s="318" t="s">
        <v>229</v>
      </c>
      <c r="B96" s="318"/>
      <c r="C96" s="318"/>
      <c r="D96" s="318"/>
      <c r="E96" s="241"/>
      <c r="F96" s="241"/>
      <c r="G96" s="241"/>
      <c r="H96" s="2"/>
      <c r="I96" s="2"/>
    </row>
    <row r="97" spans="1:30" s="16" customFormat="1" ht="14.4" thickBot="1">
      <c r="A97" s="208"/>
      <c r="B97" s="208"/>
      <c r="C97" s="208"/>
      <c r="D97" s="208"/>
      <c r="E97" s="208"/>
      <c r="F97" s="208"/>
      <c r="G97" s="349" t="s">
        <v>127</v>
      </c>
      <c r="H97" s="349" t="s">
        <v>127</v>
      </c>
      <c r="I97" s="349"/>
      <c r="K97" s="208"/>
      <c r="L97" s="208"/>
      <c r="M97" s="208"/>
      <c r="N97" s="208"/>
      <c r="O97" s="208"/>
      <c r="P97" s="208"/>
      <c r="Q97" s="349" t="s">
        <v>238</v>
      </c>
      <c r="R97" s="349" t="s">
        <v>127</v>
      </c>
      <c r="S97" s="349"/>
    </row>
    <row r="98" spans="1:30" s="16" customFormat="1">
      <c r="A98" s="209"/>
      <c r="B98" s="210">
        <v>2014</v>
      </c>
      <c r="C98" s="210">
        <v>2015</v>
      </c>
      <c r="D98" s="210">
        <v>2016</v>
      </c>
      <c r="E98" s="210">
        <v>2017</v>
      </c>
      <c r="F98" s="210">
        <v>2018</v>
      </c>
      <c r="G98" s="210">
        <v>2019</v>
      </c>
      <c r="H98" s="210">
        <v>2020</v>
      </c>
      <c r="I98" s="211">
        <v>2021</v>
      </c>
      <c r="K98" s="209"/>
      <c r="L98" s="210">
        <v>2014</v>
      </c>
      <c r="M98" s="210">
        <v>2015</v>
      </c>
      <c r="N98" s="210">
        <v>2016</v>
      </c>
      <c r="O98" s="210">
        <v>2017</v>
      </c>
      <c r="P98" s="210">
        <v>2018</v>
      </c>
      <c r="Q98" s="210">
        <v>2019</v>
      </c>
      <c r="R98" s="210">
        <v>2020</v>
      </c>
      <c r="S98" s="211">
        <v>2021</v>
      </c>
    </row>
    <row r="99" spans="1:30" s="16" customFormat="1">
      <c r="A99" s="200" t="s">
        <v>187</v>
      </c>
      <c r="B99" s="212">
        <v>652014</v>
      </c>
      <c r="C99" s="212">
        <v>811396</v>
      </c>
      <c r="D99" s="212">
        <v>1092400</v>
      </c>
      <c r="E99" s="212">
        <v>1294965</v>
      </c>
      <c r="F99" s="212">
        <v>1768827</v>
      </c>
      <c r="G99" s="212">
        <v>1902559</v>
      </c>
      <c r="H99" s="212">
        <v>2444395</v>
      </c>
      <c r="I99" s="213">
        <v>3297602</v>
      </c>
      <c r="K99" s="200" t="s">
        <v>187</v>
      </c>
      <c r="L99" s="212">
        <f>B99/1000</f>
        <v>652.01400000000001</v>
      </c>
      <c r="M99" s="212">
        <f t="shared" ref="M99:S104" si="65">C99/1000</f>
        <v>811.39599999999996</v>
      </c>
      <c r="N99" s="212">
        <f t="shared" si="65"/>
        <v>1092.4000000000001</v>
      </c>
      <c r="O99" s="212">
        <f t="shared" si="65"/>
        <v>1294.9649999999999</v>
      </c>
      <c r="P99" s="212">
        <f t="shared" si="65"/>
        <v>1768.827</v>
      </c>
      <c r="Q99" s="212">
        <f t="shared" si="65"/>
        <v>1902.559</v>
      </c>
      <c r="R99" s="212">
        <f t="shared" si="65"/>
        <v>2444.395</v>
      </c>
      <c r="S99" s="212">
        <f t="shared" si="65"/>
        <v>3297.6019999999999</v>
      </c>
    </row>
    <row r="100" spans="1:30" s="16" customFormat="1">
      <c r="A100" s="200" t="s">
        <v>188</v>
      </c>
      <c r="B100" s="212">
        <v>1106961</v>
      </c>
      <c r="C100" s="212">
        <v>1436123</v>
      </c>
      <c r="D100" s="212">
        <v>1628780</v>
      </c>
      <c r="E100" s="212">
        <v>2003383</v>
      </c>
      <c r="F100" s="212">
        <v>3482483</v>
      </c>
      <c r="G100" s="212">
        <v>4609967</v>
      </c>
      <c r="H100" s="212">
        <v>5926609</v>
      </c>
      <c r="I100" s="213">
        <v>7753104</v>
      </c>
      <c r="K100" s="200" t="s">
        <v>188</v>
      </c>
      <c r="L100" s="212">
        <f t="shared" ref="L100:L101" si="66">B100/1000</f>
        <v>1106.961</v>
      </c>
      <c r="M100" s="212">
        <f t="shared" si="65"/>
        <v>1436.123</v>
      </c>
      <c r="N100" s="212">
        <f t="shared" si="65"/>
        <v>1628.78</v>
      </c>
      <c r="O100" s="212">
        <f t="shared" si="65"/>
        <v>2003.383</v>
      </c>
      <c r="P100" s="212">
        <f t="shared" si="65"/>
        <v>3482.4830000000002</v>
      </c>
      <c r="Q100" s="212">
        <f t="shared" si="65"/>
        <v>4609.9669999999996</v>
      </c>
      <c r="R100" s="212">
        <f t="shared" si="65"/>
        <v>5926.6090000000004</v>
      </c>
      <c r="S100" s="212">
        <f t="shared" si="65"/>
        <v>7753.1040000000003</v>
      </c>
    </row>
    <row r="101" spans="1:30" s="16" customFormat="1">
      <c r="A101" s="200" t="s">
        <v>189</v>
      </c>
      <c r="B101" s="212">
        <v>1018003</v>
      </c>
      <c r="C101" s="212">
        <v>1359014</v>
      </c>
      <c r="D101" s="212">
        <v>1696559</v>
      </c>
      <c r="E101" s="212">
        <v>1456413</v>
      </c>
      <c r="F101" s="212">
        <v>2009061</v>
      </c>
      <c r="G101" s="212">
        <v>2442299</v>
      </c>
      <c r="H101" s="212">
        <v>2718132</v>
      </c>
      <c r="I101" s="213">
        <v>2952210</v>
      </c>
      <c r="K101" s="200" t="s">
        <v>189</v>
      </c>
      <c r="L101" s="212">
        <f t="shared" si="66"/>
        <v>1018.003</v>
      </c>
      <c r="M101" s="212">
        <f t="shared" si="65"/>
        <v>1359.0139999999999</v>
      </c>
      <c r="N101" s="212">
        <f t="shared" si="65"/>
        <v>1696.559</v>
      </c>
      <c r="O101" s="212">
        <f t="shared" si="65"/>
        <v>1456.413</v>
      </c>
      <c r="P101" s="212">
        <f t="shared" si="65"/>
        <v>2009.0609999999999</v>
      </c>
      <c r="Q101" s="212">
        <f t="shared" si="65"/>
        <v>2442.299</v>
      </c>
      <c r="R101" s="212">
        <f t="shared" si="65"/>
        <v>2718.1320000000001</v>
      </c>
      <c r="S101" s="212">
        <f t="shared" si="65"/>
        <v>2952.21</v>
      </c>
    </row>
    <row r="102" spans="1:30" s="16" customFormat="1">
      <c r="A102" s="200" t="s">
        <v>190</v>
      </c>
      <c r="B102" s="212"/>
      <c r="C102" s="212"/>
      <c r="D102" s="212">
        <v>192349</v>
      </c>
      <c r="E102" s="212">
        <v>287674</v>
      </c>
      <c r="F102" s="212">
        <v>701895</v>
      </c>
      <c r="G102" s="212">
        <v>1004325</v>
      </c>
      <c r="H102" s="212">
        <v>1720155</v>
      </c>
      <c r="I102" s="213">
        <v>1698153</v>
      </c>
      <c r="K102" s="200" t="s">
        <v>190</v>
      </c>
      <c r="L102" s="212"/>
      <c r="M102" s="303"/>
      <c r="N102" s="303">
        <f t="shared" si="65"/>
        <v>192.34899999999999</v>
      </c>
      <c r="O102" s="303">
        <f t="shared" si="65"/>
        <v>287.67399999999998</v>
      </c>
      <c r="P102" s="303">
        <f t="shared" si="65"/>
        <v>701.89499999999998</v>
      </c>
      <c r="Q102" s="303">
        <f t="shared" si="65"/>
        <v>1004.325</v>
      </c>
      <c r="R102" s="212">
        <f t="shared" si="65"/>
        <v>1720.155</v>
      </c>
      <c r="S102" s="212">
        <f t="shared" si="65"/>
        <v>1698.153</v>
      </c>
    </row>
    <row r="103" spans="1:30" s="16" customFormat="1">
      <c r="A103" s="200" t="s">
        <v>191</v>
      </c>
      <c r="B103" s="212"/>
      <c r="C103" s="212"/>
      <c r="D103" s="212"/>
      <c r="E103" s="212">
        <v>287038</v>
      </c>
      <c r="F103" s="212">
        <v>558224</v>
      </c>
      <c r="G103" s="212">
        <v>950415</v>
      </c>
      <c r="H103" s="212">
        <v>1439977</v>
      </c>
      <c r="I103" s="213">
        <v>1943876</v>
      </c>
      <c r="K103" s="200" t="s">
        <v>191</v>
      </c>
      <c r="L103" s="212"/>
      <c r="M103" s="303"/>
      <c r="N103" s="303"/>
      <c r="O103" s="303">
        <f t="shared" si="65"/>
        <v>287.03800000000001</v>
      </c>
      <c r="P103" s="303">
        <f t="shared" si="65"/>
        <v>558.22400000000005</v>
      </c>
      <c r="Q103" s="303">
        <f t="shared" si="65"/>
        <v>950.41499999999996</v>
      </c>
      <c r="R103" s="212">
        <f t="shared" si="65"/>
        <v>1439.9770000000001</v>
      </c>
      <c r="S103" s="212">
        <f t="shared" si="65"/>
        <v>1943.876</v>
      </c>
    </row>
    <row r="104" spans="1:30" s="16" customFormat="1" ht="14.4" thickBot="1">
      <c r="A104" s="222" t="s">
        <v>192</v>
      </c>
      <c r="B104" s="212"/>
      <c r="C104" s="212"/>
      <c r="D104" s="212"/>
      <c r="E104" s="212"/>
      <c r="F104" s="212"/>
      <c r="G104" s="212"/>
      <c r="H104" s="212">
        <v>276719</v>
      </c>
      <c r="I104" s="213">
        <v>613335</v>
      </c>
      <c r="K104" s="222" t="s">
        <v>192</v>
      </c>
      <c r="L104" s="212"/>
      <c r="M104" s="303"/>
      <c r="N104" s="303"/>
      <c r="O104" s="303"/>
      <c r="P104" s="303"/>
      <c r="Q104" s="303"/>
      <c r="R104" s="212">
        <f t="shared" si="65"/>
        <v>276.71899999999999</v>
      </c>
      <c r="S104" s="212">
        <f t="shared" si="65"/>
        <v>613.33500000000004</v>
      </c>
    </row>
    <row r="105" spans="1:30" s="16" customFormat="1">
      <c r="A105" s="201" t="s">
        <v>0</v>
      </c>
      <c r="B105" s="203">
        <f>SUM(B99:B104)</f>
        <v>2776978</v>
      </c>
      <c r="C105" s="203">
        <f t="shared" ref="C105:I105" si="67">SUM(C99:C104)</f>
        <v>3606533</v>
      </c>
      <c r="D105" s="203">
        <f t="shared" si="67"/>
        <v>4610088</v>
      </c>
      <c r="E105" s="203">
        <f t="shared" si="67"/>
        <v>5329473</v>
      </c>
      <c r="F105" s="203">
        <f t="shared" si="67"/>
        <v>8520490</v>
      </c>
      <c r="G105" s="203">
        <f t="shared" si="67"/>
        <v>10909565</v>
      </c>
      <c r="H105" s="203">
        <f t="shared" si="67"/>
        <v>14525987</v>
      </c>
      <c r="I105" s="204">
        <f t="shared" si="67"/>
        <v>18258280</v>
      </c>
      <c r="K105" s="201" t="s">
        <v>0</v>
      </c>
      <c r="L105" s="203">
        <f>SUM(L99:L104)</f>
        <v>2776.9780000000001</v>
      </c>
      <c r="M105" s="203">
        <f t="shared" ref="M105:S105" si="68">SUM(M99:M104)</f>
        <v>3606.5330000000004</v>
      </c>
      <c r="N105" s="203">
        <f t="shared" si="68"/>
        <v>4610.0880000000006</v>
      </c>
      <c r="O105" s="203">
        <f t="shared" si="68"/>
        <v>5329.473</v>
      </c>
      <c r="P105" s="203">
        <f t="shared" si="68"/>
        <v>8520.49</v>
      </c>
      <c r="Q105" s="203">
        <f t="shared" si="68"/>
        <v>10909.565000000002</v>
      </c>
      <c r="R105" s="203">
        <f t="shared" si="68"/>
        <v>14525.987000000001</v>
      </c>
      <c r="S105" s="204">
        <f t="shared" si="68"/>
        <v>18258.28</v>
      </c>
    </row>
    <row r="106" spans="1:30" s="16" customFormat="1" ht="14.4" thickBot="1">
      <c r="A106" s="202" t="s">
        <v>129</v>
      </c>
      <c r="B106" s="205"/>
      <c r="C106" s="206">
        <f>(C105/B105)-1</f>
        <v>0.29872580913496605</v>
      </c>
      <c r="D106" s="206">
        <f t="shared" ref="D106:I106" si="69">(D105/C105)-1</f>
        <v>0.278260312604931</v>
      </c>
      <c r="E106" s="206">
        <f t="shared" si="69"/>
        <v>0.15604582819243373</v>
      </c>
      <c r="F106" s="206">
        <f t="shared" si="69"/>
        <v>0.59874906956091145</v>
      </c>
      <c r="G106" s="206">
        <f t="shared" si="69"/>
        <v>0.28039173803384543</v>
      </c>
      <c r="H106" s="206">
        <f t="shared" si="69"/>
        <v>0.33149094395606049</v>
      </c>
      <c r="I106" s="206">
        <f t="shared" si="69"/>
        <v>0.25693902934100099</v>
      </c>
      <c r="K106" s="202" t="s">
        <v>129</v>
      </c>
      <c r="L106" s="205"/>
      <c r="M106" s="206">
        <f>(M105/L105)-1</f>
        <v>0.29872580913496627</v>
      </c>
      <c r="N106" s="206">
        <f t="shared" ref="N106" si="70">(N105/M105)-1</f>
        <v>0.27826031260493123</v>
      </c>
      <c r="O106" s="206">
        <f t="shared" ref="O106" si="71">(O105/N105)-1</f>
        <v>0.15604582819243351</v>
      </c>
      <c r="P106" s="206">
        <f t="shared" ref="P106" si="72">(P105/O105)-1</f>
        <v>0.59874906956091145</v>
      </c>
      <c r="Q106" s="206">
        <f t="shared" ref="Q106" si="73">(Q105/P105)-1</f>
        <v>0.28039173803384587</v>
      </c>
      <c r="R106" s="206">
        <f t="shared" ref="R106" si="74">(R105/Q105)-1</f>
        <v>0.33149094395606049</v>
      </c>
      <c r="S106" s="206">
        <f t="shared" ref="S106" si="75">(S105/R105)-1</f>
        <v>0.25693902934100099</v>
      </c>
    </row>
    <row r="107" spans="1:30" s="16" customFormat="1" ht="27" thickBot="1">
      <c r="A107" s="249" t="s">
        <v>169</v>
      </c>
      <c r="B107" s="214">
        <v>57983647</v>
      </c>
      <c r="C107" s="214">
        <v>68425619</v>
      </c>
      <c r="D107" s="214">
        <v>76741913</v>
      </c>
      <c r="E107" s="214">
        <v>82414714</v>
      </c>
      <c r="F107" s="214">
        <v>120195087</v>
      </c>
      <c r="G107" s="214">
        <v>147917754</v>
      </c>
      <c r="H107" s="214">
        <v>189123268</v>
      </c>
      <c r="I107" s="215">
        <v>233320941</v>
      </c>
      <c r="K107" s="249" t="s">
        <v>169</v>
      </c>
      <c r="L107" s="214">
        <f>B107/1000</f>
        <v>57983.646999999997</v>
      </c>
      <c r="M107" s="214">
        <f t="shared" ref="M107" si="76">C107/1000</f>
        <v>68425.619000000006</v>
      </c>
      <c r="N107" s="214">
        <f t="shared" ref="N107" si="77">D107/1000</f>
        <v>76741.913</v>
      </c>
      <c r="O107" s="214">
        <f t="shared" ref="O107" si="78">E107/1000</f>
        <v>82414.714000000007</v>
      </c>
      <c r="P107" s="214">
        <f t="shared" ref="P107" si="79">F107/1000</f>
        <v>120195.087</v>
      </c>
      <c r="Q107" s="214">
        <f t="shared" ref="Q107" si="80">G107/1000</f>
        <v>147917.75399999999</v>
      </c>
      <c r="R107" s="214">
        <f t="shared" ref="R107" si="81">H107/1000</f>
        <v>189123.26800000001</v>
      </c>
      <c r="S107" s="215">
        <f t="shared" ref="S107" si="82">I107/1000</f>
        <v>233320.94099999999</v>
      </c>
    </row>
    <row r="108" spans="1:30" s="16" customFormat="1" ht="14.4" thickBot="1">
      <c r="A108" s="202" t="s">
        <v>129</v>
      </c>
      <c r="B108" s="205"/>
      <c r="C108" s="206">
        <f>(C107/B107)-1</f>
        <v>0.18008477459170513</v>
      </c>
      <c r="D108" s="206">
        <f t="shared" ref="D108" si="83">(D107/C107)-1</f>
        <v>0.12153772405040275</v>
      </c>
      <c r="E108" s="206">
        <f t="shared" ref="E108" si="84">(E107/D107)-1</f>
        <v>7.3920505473977327E-2</v>
      </c>
      <c r="F108" s="206">
        <f t="shared" ref="F108" si="85">(F107/E107)-1</f>
        <v>0.4584178135957615</v>
      </c>
      <c r="G108" s="206">
        <f t="shared" ref="G108" si="86">(G107/F107)-1</f>
        <v>0.23064725598975611</v>
      </c>
      <c r="H108" s="206">
        <f t="shared" ref="H108" si="87">(H107/G107)-1</f>
        <v>0.2785704412466945</v>
      </c>
      <c r="I108" s="207">
        <f t="shared" ref="I108" si="88">(I107/H107)-1</f>
        <v>0.23369770133202228</v>
      </c>
      <c r="K108" s="202" t="s">
        <v>129</v>
      </c>
      <c r="L108" s="205"/>
      <c r="M108" s="206">
        <f>(M107/L107)-1</f>
        <v>0.18008477459170535</v>
      </c>
      <c r="N108" s="206">
        <f t="shared" ref="N108" si="89">(N107/M107)-1</f>
        <v>0.12153772405040275</v>
      </c>
      <c r="O108" s="206">
        <f t="shared" ref="O108" si="90">(O107/N107)-1</f>
        <v>7.3920505473977549E-2</v>
      </c>
      <c r="P108" s="206">
        <f t="shared" ref="P108" si="91">(P107/O107)-1</f>
        <v>0.4584178135957615</v>
      </c>
      <c r="Q108" s="206">
        <f t="shared" ref="Q108" si="92">(Q107/P107)-1</f>
        <v>0.23064725598975588</v>
      </c>
      <c r="R108" s="206">
        <f t="shared" ref="R108" si="93">(R107/Q107)-1</f>
        <v>0.27857044124669472</v>
      </c>
      <c r="S108" s="207">
        <f t="shared" ref="S108" si="94">(S107/R107)-1</f>
        <v>0.23369770133202206</v>
      </c>
    </row>
    <row r="109" spans="1:30" s="16" customFormat="1">
      <c r="A109" s="199"/>
      <c r="B109" s="199"/>
      <c r="C109" s="199"/>
      <c r="D109" s="199"/>
      <c r="E109" s="199"/>
      <c r="F109" s="199"/>
      <c r="G109" s="199"/>
      <c r="H109" s="175"/>
      <c r="I109" s="175"/>
    </row>
    <row r="110" spans="1:30" s="16" customFormat="1">
      <c r="A110" s="180"/>
      <c r="B110" s="180"/>
      <c r="C110" s="180"/>
      <c r="D110" s="180"/>
      <c r="E110" s="180"/>
      <c r="F110" s="180"/>
      <c r="G110" s="180"/>
      <c r="H110" s="181"/>
      <c r="I110" s="181"/>
      <c r="J110" s="179"/>
      <c r="K110" s="179"/>
      <c r="L110" s="179"/>
      <c r="M110" s="179"/>
      <c r="N110" s="179"/>
      <c r="O110" s="179"/>
      <c r="P110" s="179"/>
      <c r="Q110" s="179"/>
      <c r="R110" s="179"/>
      <c r="S110" s="179"/>
      <c r="T110" s="179"/>
      <c r="U110" s="179"/>
      <c r="V110" s="179"/>
      <c r="W110" s="179"/>
      <c r="X110" s="179"/>
      <c r="Y110" s="179"/>
      <c r="Z110" s="179"/>
      <c r="AA110" s="179"/>
      <c r="AB110" s="179"/>
      <c r="AC110" s="179"/>
      <c r="AD110" s="179"/>
    </row>
    <row r="111" spans="1:30">
      <c r="A111" s="318" t="s">
        <v>225</v>
      </c>
      <c r="B111" s="318"/>
      <c r="C111" s="318"/>
      <c r="D111" s="318"/>
      <c r="E111" s="258"/>
      <c r="F111" s="258"/>
      <c r="G111" s="241"/>
    </row>
    <row r="112" spans="1:30" ht="15" customHeight="1" thickBot="1">
      <c r="A112"/>
      <c r="B112"/>
      <c r="C112"/>
      <c r="D112"/>
      <c r="E112"/>
      <c r="F112"/>
      <c r="G112"/>
      <c r="H112" s="347" t="s">
        <v>128</v>
      </c>
      <c r="I112" s="347" t="s">
        <v>128</v>
      </c>
      <c r="J112" s="347"/>
      <c r="K112"/>
    </row>
    <row r="113" spans="1:30">
      <c r="A113" s="209"/>
      <c r="B113" s="210">
        <v>2014</v>
      </c>
      <c r="C113" s="210">
        <v>2015</v>
      </c>
      <c r="D113" s="210">
        <v>2016</v>
      </c>
      <c r="E113" s="210">
        <v>2017</v>
      </c>
      <c r="F113" s="210">
        <v>2018</v>
      </c>
      <c r="G113" s="210">
        <v>2019</v>
      </c>
      <c r="H113" s="210">
        <v>2020</v>
      </c>
      <c r="I113" s="216">
        <v>2021</v>
      </c>
      <c r="J113" s="217" t="s">
        <v>124</v>
      </c>
      <c r="K113" s="217" t="s">
        <v>125</v>
      </c>
    </row>
    <row r="114" spans="1:30" ht="14.4">
      <c r="A114" s="200" t="s">
        <v>187</v>
      </c>
      <c r="B114" s="218">
        <f>(B85-B99)/B13</f>
        <v>1.4125922529239244E-2</v>
      </c>
      <c r="C114" s="218">
        <f t="shared" ref="C114:I114" si="95">(C85-C99)/C13</f>
        <v>1.2745349189680982E-2</v>
      </c>
      <c r="D114" s="218">
        <f t="shared" si="95"/>
        <v>8.0339138804126718E-3</v>
      </c>
      <c r="E114" s="218">
        <f t="shared" si="95"/>
        <v>7.9714975901815002E-3</v>
      </c>
      <c r="F114" s="218">
        <f t="shared" si="95"/>
        <v>3.9905359204836189E-3</v>
      </c>
      <c r="G114" s="218">
        <f t="shared" si="95"/>
        <v>1.6985595993552973E-3</v>
      </c>
      <c r="H114" s="218">
        <f t="shared" si="95"/>
        <v>4.6704359564548915E-3</v>
      </c>
      <c r="I114" s="219">
        <f t="shared" si="95"/>
        <v>7.4748206194948726E-4</v>
      </c>
      <c r="J114" s="234">
        <f>AVERAGE(B114:I114)</f>
        <v>6.7479620909697115E-3</v>
      </c>
      <c r="K114" s="221">
        <v>4</v>
      </c>
    </row>
    <row r="115" spans="1:30" ht="14.4">
      <c r="A115" s="200" t="s">
        <v>188</v>
      </c>
      <c r="B115" s="218">
        <f>(B86-B100)/B14</f>
        <v>1.3795157184013408E-2</v>
      </c>
      <c r="C115" s="218">
        <f t="shared" ref="C115:I116" si="96">(C86-C100)/C14</f>
        <v>1.3161545874066437E-2</v>
      </c>
      <c r="D115" s="218">
        <f t="shared" si="96"/>
        <v>1.3680974805451374E-2</v>
      </c>
      <c r="E115" s="218">
        <f t="shared" si="96"/>
        <v>1.4861467152646404E-2</v>
      </c>
      <c r="F115" s="218">
        <f t="shared" si="96"/>
        <v>1.5169361864928789E-2</v>
      </c>
      <c r="G115" s="218">
        <f t="shared" si="96"/>
        <v>1.3551090348182479E-2</v>
      </c>
      <c r="H115" s="218">
        <f t="shared" si="96"/>
        <v>1.21654683030894E-2</v>
      </c>
      <c r="I115" s="219">
        <f t="shared" si="96"/>
        <v>1.3962255655232181E-2</v>
      </c>
      <c r="J115" s="234">
        <f t="shared" ref="J115:J119" si="97">AVERAGE(B115:I115)</f>
        <v>1.379341514845131E-2</v>
      </c>
      <c r="K115" s="221">
        <v>3</v>
      </c>
    </row>
    <row r="116" spans="1:30" ht="14.4">
      <c r="A116" s="200" t="s">
        <v>189</v>
      </c>
      <c r="B116" s="218">
        <f>(B87-B101)/B15</f>
        <v>1.2697049302294476E-2</v>
      </c>
      <c r="C116" s="218">
        <f t="shared" si="96"/>
        <v>8.6277068725540522E-3</v>
      </c>
      <c r="D116" s="218">
        <f t="shared" si="96"/>
        <v>9.5103507377153878E-3</v>
      </c>
      <c r="E116" s="218">
        <f t="shared" si="96"/>
        <v>1.171012016433502E-2</v>
      </c>
      <c r="F116" s="218">
        <f t="shared" si="96"/>
        <v>1.2102442880592659E-2</v>
      </c>
      <c r="G116" s="218">
        <f t="shared" si="96"/>
        <v>9.1012125145987569E-3</v>
      </c>
      <c r="H116" s="218">
        <f t="shared" si="96"/>
        <v>1.0726031500578917E-2</v>
      </c>
      <c r="I116" s="219">
        <f t="shared" si="96"/>
        <v>1.0455758239889859E-2</v>
      </c>
      <c r="J116" s="234">
        <f t="shared" si="97"/>
        <v>1.061633402656989E-2</v>
      </c>
      <c r="K116" s="221">
        <v>3</v>
      </c>
    </row>
    <row r="117" spans="1:30" ht="14.4">
      <c r="A117" s="200" t="s">
        <v>190</v>
      </c>
      <c r="B117" s="218"/>
      <c r="C117" s="305"/>
      <c r="D117" s="305">
        <f t="shared" ref="D117:I117" si="98">(D88-D102)/D16</f>
        <v>5.0859933912992348E-3</v>
      </c>
      <c r="E117" s="305">
        <f t="shared" si="98"/>
        <v>1.3935331515511728E-2</v>
      </c>
      <c r="F117" s="305">
        <f t="shared" si="98"/>
        <v>1.6306519404917841E-2</v>
      </c>
      <c r="G117" s="305">
        <f t="shared" si="98"/>
        <v>1.9380540442568778E-2</v>
      </c>
      <c r="H117" s="218">
        <f t="shared" si="98"/>
        <v>1.3166997070264148E-2</v>
      </c>
      <c r="I117" s="219">
        <f t="shared" si="98"/>
        <v>7.427034372158553E-3</v>
      </c>
      <c r="J117" s="234">
        <f t="shared" si="97"/>
        <v>1.2550402699453381E-2</v>
      </c>
      <c r="K117" s="221">
        <v>4</v>
      </c>
    </row>
    <row r="118" spans="1:30" ht="14.4">
      <c r="A118" s="200" t="s">
        <v>191</v>
      </c>
      <c r="B118" s="218"/>
      <c r="C118" s="305"/>
      <c r="D118" s="305"/>
      <c r="E118" s="305">
        <f>(E89-E103)/E17</f>
        <v>1.2859964822490593E-2</v>
      </c>
      <c r="F118" s="305">
        <f>(F89-F103)/F17</f>
        <v>1.9755518261734668E-2</v>
      </c>
      <c r="G118" s="305">
        <f>(G89-G103)/G17</f>
        <v>1.4568161940195034E-2</v>
      </c>
      <c r="H118" s="218">
        <f>(H89-H103)/H17</f>
        <v>1.5844311187098115E-2</v>
      </c>
      <c r="I118" s="219">
        <f>(I89-I103)/I17</f>
        <v>1.6531194639749704E-2</v>
      </c>
      <c r="J118" s="234">
        <f t="shared" si="97"/>
        <v>1.5911830170253622E-2</v>
      </c>
      <c r="K118" s="221">
        <v>3</v>
      </c>
    </row>
    <row r="119" spans="1:30" ht="15" thickBot="1">
      <c r="A119" s="222" t="s">
        <v>192</v>
      </c>
      <c r="B119" s="223"/>
      <c r="C119" s="306"/>
      <c r="D119" s="306"/>
      <c r="E119" s="306"/>
      <c r="F119" s="306"/>
      <c r="G119" s="306"/>
      <c r="H119" s="223">
        <f>(H90-H104)/H18</f>
        <v>1.0968909195834837E-2</v>
      </c>
      <c r="I119" s="224">
        <f>(I90-I104)/I18</f>
        <v>4.8503221112541567E-3</v>
      </c>
      <c r="J119" s="235">
        <f t="shared" si="97"/>
        <v>7.9096156535444963E-3</v>
      </c>
      <c r="K119" s="226">
        <v>4</v>
      </c>
    </row>
    <row r="120" spans="1:30" ht="26.4">
      <c r="A120" s="229" t="s">
        <v>169</v>
      </c>
      <c r="B120" s="230">
        <f>(B93-B107)/B19</f>
        <v>1.6422208744645589E-2</v>
      </c>
      <c r="C120" s="230">
        <f t="shared" ref="C120:I120" si="99">(C93-C107)/C19</f>
        <v>1.37572664252957E-2</v>
      </c>
      <c r="D120" s="230">
        <f t="shared" si="99"/>
        <v>1.7094405171680437E-2</v>
      </c>
      <c r="E120" s="230">
        <f t="shared" si="99"/>
        <v>1.8222385534461587E-2</v>
      </c>
      <c r="F120" s="230">
        <f t="shared" si="99"/>
        <v>8.1937685847407529E-3</v>
      </c>
      <c r="G120" s="230">
        <f t="shared" si="99"/>
        <v>1.2154543237004002E-2</v>
      </c>
      <c r="H120" s="230">
        <f t="shared" si="99"/>
        <v>1.1244447092511258E-2</v>
      </c>
      <c r="I120" s="230">
        <f t="shared" si="99"/>
        <v>1.1311130763693188E-2</v>
      </c>
      <c r="J120" s="230">
        <f>AVERAGE(B120:I120)</f>
        <v>1.3550019444254064E-2</v>
      </c>
      <c r="K120" s="233"/>
    </row>
    <row r="121" spans="1:30">
      <c r="A121" s="348" t="s">
        <v>160</v>
      </c>
      <c r="B121" s="348"/>
      <c r="C121" s="348"/>
      <c r="D121" s="348"/>
      <c r="E121" s="348"/>
      <c r="F121" s="348"/>
      <c r="G121" s="348"/>
    </row>
    <row r="123" spans="1:30">
      <c r="A123" s="180"/>
      <c r="B123" s="180"/>
      <c r="C123" s="180"/>
      <c r="D123" s="180"/>
      <c r="E123" s="180"/>
      <c r="F123" s="180"/>
      <c r="G123" s="180"/>
      <c r="H123" s="181"/>
      <c r="I123" s="181"/>
      <c r="J123" s="179"/>
      <c r="K123" s="179"/>
      <c r="L123" s="179"/>
      <c r="M123" s="179"/>
      <c r="N123" s="179"/>
      <c r="O123" s="179"/>
      <c r="P123" s="179"/>
      <c r="Q123" s="179"/>
      <c r="R123" s="179"/>
      <c r="S123" s="179"/>
      <c r="T123" s="179"/>
      <c r="U123" s="179"/>
      <c r="V123" s="179"/>
      <c r="W123" s="179"/>
      <c r="X123" s="179"/>
      <c r="Y123" s="179"/>
      <c r="Z123" s="179"/>
      <c r="AA123" s="179"/>
      <c r="AB123" s="179"/>
      <c r="AC123" s="179"/>
      <c r="AD123" s="179"/>
    </row>
  </sheetData>
  <mergeCells count="18">
    <mergeCell ref="A31:G31"/>
    <mergeCell ref="H31:I31"/>
    <mergeCell ref="A1:G1"/>
    <mergeCell ref="H1:I1"/>
    <mergeCell ref="A11:G11"/>
    <mergeCell ref="H11:I11"/>
    <mergeCell ref="A21:G21"/>
    <mergeCell ref="H21:I21"/>
    <mergeCell ref="Q42:S42"/>
    <mergeCell ref="A121:G121"/>
    <mergeCell ref="Q83:S83"/>
    <mergeCell ref="Q97:S97"/>
    <mergeCell ref="H112:J112"/>
    <mergeCell ref="G83:I83"/>
    <mergeCell ref="G97:I97"/>
    <mergeCell ref="G42:I42"/>
    <mergeCell ref="H57:J57"/>
    <mergeCell ref="H70:J70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B9E1F-BA2F-418F-BE28-2DF9D65781B7}">
  <dimension ref="A1:AD126"/>
  <sheetViews>
    <sheetView showGridLines="0" zoomScale="70" zoomScaleNormal="70" workbookViewId="0">
      <selection activeCell="D115" sqref="D115"/>
    </sheetView>
  </sheetViews>
  <sheetFormatPr defaultRowHeight="14.4"/>
  <cols>
    <col min="1" max="1" width="12.5546875" customWidth="1"/>
    <col min="2" max="9" width="14.109375" bestFit="1" customWidth="1"/>
    <col min="10" max="10" width="7.44140625" bestFit="1" customWidth="1"/>
    <col min="11" max="11" width="11.109375" customWidth="1"/>
    <col min="12" max="19" width="10.44140625" customWidth="1"/>
    <col min="21" max="21" width="9.77734375" customWidth="1"/>
    <col min="22" max="22" width="10" bestFit="1" customWidth="1"/>
    <col min="23" max="23" width="13" bestFit="1" customWidth="1"/>
    <col min="24" max="24" width="2.33203125" bestFit="1" customWidth="1"/>
    <col min="25" max="25" width="9.5546875" bestFit="1" customWidth="1"/>
    <col min="26" max="26" width="9.33203125" bestFit="1" customWidth="1"/>
  </cols>
  <sheetData>
    <row r="1" spans="1:9" ht="15" thickBot="1">
      <c r="A1" s="339" t="s">
        <v>174</v>
      </c>
      <c r="B1" s="340"/>
      <c r="C1" s="340"/>
      <c r="D1" s="340"/>
      <c r="E1" s="340"/>
      <c r="F1" s="340"/>
      <c r="G1" s="340"/>
      <c r="H1" s="341" t="s">
        <v>127</v>
      </c>
      <c r="I1" s="342"/>
    </row>
    <row r="2" spans="1:9">
      <c r="A2" s="188"/>
      <c r="B2" s="182">
        <v>2014</v>
      </c>
      <c r="C2" s="182">
        <v>2015</v>
      </c>
      <c r="D2" s="182">
        <v>2016</v>
      </c>
      <c r="E2" s="182">
        <v>2017</v>
      </c>
      <c r="F2" s="182">
        <v>2018</v>
      </c>
      <c r="G2" s="182">
        <v>2019</v>
      </c>
      <c r="H2" s="182">
        <v>2020</v>
      </c>
      <c r="I2" s="189">
        <v>2021</v>
      </c>
    </row>
    <row r="3" spans="1:9">
      <c r="A3" s="72" t="s">
        <v>187</v>
      </c>
      <c r="B3" s="10">
        <v>23046424</v>
      </c>
      <c r="C3" s="10">
        <v>29561999</v>
      </c>
      <c r="D3" s="10">
        <v>32850738</v>
      </c>
      <c r="E3" s="10">
        <v>36229077</v>
      </c>
      <c r="F3" s="10">
        <v>42223652</v>
      </c>
      <c r="G3" s="10">
        <v>51392368</v>
      </c>
      <c r="H3" s="10">
        <v>69315799</v>
      </c>
      <c r="I3" s="69">
        <v>108955123</v>
      </c>
    </row>
    <row r="4" spans="1:9">
      <c r="A4" s="72" t="s">
        <v>188</v>
      </c>
      <c r="B4" s="10">
        <v>33543583</v>
      </c>
      <c r="C4" s="10">
        <v>42052507</v>
      </c>
      <c r="D4" s="10">
        <v>48476955</v>
      </c>
      <c r="E4" s="10">
        <v>57123095</v>
      </c>
      <c r="F4" s="10">
        <v>74232325</v>
      </c>
      <c r="G4" s="10">
        <v>104439345</v>
      </c>
      <c r="H4" s="10">
        <v>152290315</v>
      </c>
      <c r="I4" s="69">
        <v>254068260</v>
      </c>
    </row>
    <row r="5" spans="1:9">
      <c r="A5" s="72" t="s">
        <v>189</v>
      </c>
      <c r="B5" s="10">
        <v>33494790</v>
      </c>
      <c r="C5" s="10">
        <v>38576299</v>
      </c>
      <c r="D5" s="10">
        <v>38807717</v>
      </c>
      <c r="E5" s="10">
        <v>39080897</v>
      </c>
      <c r="F5" s="10">
        <v>47052484</v>
      </c>
      <c r="G5" s="10">
        <v>52427410</v>
      </c>
      <c r="H5" s="10">
        <v>81370822</v>
      </c>
      <c r="I5" s="69">
        <v>115643263</v>
      </c>
    </row>
    <row r="6" spans="1:9">
      <c r="A6" s="72" t="s">
        <v>190</v>
      </c>
      <c r="B6" s="76" t="s">
        <v>1</v>
      </c>
      <c r="C6" s="76">
        <v>2177435</v>
      </c>
      <c r="D6" s="76">
        <v>7959507</v>
      </c>
      <c r="E6" s="76">
        <v>14350143</v>
      </c>
      <c r="F6" s="76">
        <v>25477356</v>
      </c>
      <c r="G6" s="76">
        <v>36392174</v>
      </c>
      <c r="H6" s="76">
        <v>60186996</v>
      </c>
      <c r="I6" s="174">
        <v>98312592</v>
      </c>
    </row>
    <row r="7" spans="1:9">
      <c r="A7" s="72" t="s">
        <v>191</v>
      </c>
      <c r="B7" s="76" t="s">
        <v>1</v>
      </c>
      <c r="C7" s="76">
        <v>862030</v>
      </c>
      <c r="D7" s="76">
        <v>4681933</v>
      </c>
      <c r="E7" s="76">
        <v>13210145</v>
      </c>
      <c r="F7" s="76">
        <v>20955512</v>
      </c>
      <c r="G7" s="76">
        <v>30348784</v>
      </c>
      <c r="H7" s="76">
        <v>53157628</v>
      </c>
      <c r="I7" s="174">
        <v>100757086</v>
      </c>
    </row>
    <row r="8" spans="1:9">
      <c r="A8" s="72" t="s">
        <v>192</v>
      </c>
      <c r="B8" s="76" t="s">
        <v>1</v>
      </c>
      <c r="C8" s="76" t="s">
        <v>1</v>
      </c>
      <c r="D8" s="76" t="s">
        <v>1</v>
      </c>
      <c r="E8" s="76" t="s">
        <v>1</v>
      </c>
      <c r="F8" s="76">
        <v>1138798</v>
      </c>
      <c r="G8" s="76">
        <v>9282271</v>
      </c>
      <c r="H8" s="76">
        <v>20390177</v>
      </c>
      <c r="I8" s="174">
        <v>38759900</v>
      </c>
    </row>
    <row r="9" spans="1:9" ht="28.8" thickBot="1">
      <c r="A9" s="242" t="s">
        <v>169</v>
      </c>
      <c r="B9" s="194">
        <v>1888308478</v>
      </c>
      <c r="C9" s="194">
        <v>2235994713.5601697</v>
      </c>
      <c r="D9" s="194">
        <v>2595347984</v>
      </c>
      <c r="E9" s="194">
        <v>3095039170</v>
      </c>
      <c r="F9" s="194">
        <v>3656359182</v>
      </c>
      <c r="G9" s="194">
        <v>4201885172</v>
      </c>
      <c r="H9" s="194">
        <v>5663536186</v>
      </c>
      <c r="I9" s="197">
        <v>8489361144</v>
      </c>
    </row>
    <row r="10" spans="1:9" ht="15" thickBot="1">
      <c r="A10" s="14"/>
      <c r="B10" s="77"/>
      <c r="C10" s="77"/>
      <c r="D10" s="77"/>
      <c r="E10" s="77"/>
      <c r="F10" s="70"/>
      <c r="G10" s="10"/>
      <c r="H10" s="10"/>
      <c r="I10" s="10"/>
    </row>
    <row r="11" spans="1:9" ht="15" thickBot="1">
      <c r="A11" s="339" t="s">
        <v>173</v>
      </c>
      <c r="B11" s="340"/>
      <c r="C11" s="340"/>
      <c r="D11" s="340"/>
      <c r="E11" s="340"/>
      <c r="F11" s="340"/>
      <c r="G11" s="340"/>
      <c r="H11" s="341" t="s">
        <v>127</v>
      </c>
      <c r="I11" s="342"/>
    </row>
    <row r="12" spans="1:9">
      <c r="A12" s="188"/>
      <c r="B12" s="182">
        <v>2014</v>
      </c>
      <c r="C12" s="182">
        <v>2015</v>
      </c>
      <c r="D12" s="182">
        <v>2016</v>
      </c>
      <c r="E12" s="182">
        <v>2017</v>
      </c>
      <c r="F12" s="182">
        <v>2018</v>
      </c>
      <c r="G12" s="182">
        <v>2019</v>
      </c>
      <c r="H12" s="182">
        <v>2020</v>
      </c>
      <c r="I12" s="189">
        <v>2021</v>
      </c>
    </row>
    <row r="13" spans="1:9">
      <c r="A13" s="72" t="s">
        <v>187</v>
      </c>
      <c r="B13" s="10">
        <v>15474046</v>
      </c>
      <c r="C13" s="10">
        <v>18557965</v>
      </c>
      <c r="D13" s="10">
        <v>21843075</v>
      </c>
      <c r="E13" s="10">
        <v>24456382</v>
      </c>
      <c r="F13" s="10">
        <v>27062226</v>
      </c>
      <c r="G13" s="10">
        <v>30637243</v>
      </c>
      <c r="H13" s="10">
        <v>42055806</v>
      </c>
      <c r="I13" s="69">
        <v>59304778</v>
      </c>
    </row>
    <row r="14" spans="1:9">
      <c r="A14" s="72" t="s">
        <v>188</v>
      </c>
      <c r="B14" s="10">
        <v>20575082</v>
      </c>
      <c r="C14" s="10">
        <v>25851000</v>
      </c>
      <c r="D14" s="10">
        <v>28250102</v>
      </c>
      <c r="E14" s="10">
        <v>35994116</v>
      </c>
      <c r="F14" s="10">
        <v>45348335</v>
      </c>
      <c r="G14" s="10">
        <v>55218449</v>
      </c>
      <c r="H14" s="10">
        <v>74043052</v>
      </c>
      <c r="I14" s="69">
        <v>111440591</v>
      </c>
    </row>
    <row r="15" spans="1:9">
      <c r="A15" s="72" t="s">
        <v>189</v>
      </c>
      <c r="B15" s="10">
        <v>23056422</v>
      </c>
      <c r="C15" s="10">
        <v>27014513</v>
      </c>
      <c r="D15" s="10">
        <v>25599230</v>
      </c>
      <c r="E15" s="10">
        <v>25337819</v>
      </c>
      <c r="F15" s="10">
        <v>30481546</v>
      </c>
      <c r="G15" s="10">
        <v>32582167</v>
      </c>
      <c r="H15" s="10">
        <v>47032268</v>
      </c>
      <c r="I15" s="69">
        <v>60187817</v>
      </c>
    </row>
    <row r="16" spans="1:9">
      <c r="A16" s="72" t="s">
        <v>190</v>
      </c>
      <c r="B16" s="76" t="s">
        <v>1</v>
      </c>
      <c r="C16" s="76">
        <v>1690106</v>
      </c>
      <c r="D16" s="76">
        <v>5557942</v>
      </c>
      <c r="E16" s="76">
        <v>11374744</v>
      </c>
      <c r="F16" s="76">
        <v>17243990</v>
      </c>
      <c r="G16" s="76">
        <v>25908664</v>
      </c>
      <c r="H16" s="76">
        <v>38223417</v>
      </c>
      <c r="I16" s="174">
        <v>58588552</v>
      </c>
    </row>
    <row r="17" spans="1:19">
      <c r="A17" s="72" t="s">
        <v>191</v>
      </c>
      <c r="B17" s="76" t="s">
        <v>1</v>
      </c>
      <c r="C17" s="76" t="s">
        <v>1</v>
      </c>
      <c r="D17" s="76">
        <v>2946447</v>
      </c>
      <c r="E17" s="76">
        <v>9585506</v>
      </c>
      <c r="F17" s="76">
        <v>13567228</v>
      </c>
      <c r="G17" s="76">
        <v>18588745</v>
      </c>
      <c r="H17" s="76">
        <v>29107607</v>
      </c>
      <c r="I17" s="174">
        <v>56087057</v>
      </c>
    </row>
    <row r="18" spans="1:19">
      <c r="A18" s="72" t="s">
        <v>192</v>
      </c>
      <c r="B18" s="76" t="s">
        <v>1</v>
      </c>
      <c r="C18" s="76" t="s">
        <v>1</v>
      </c>
      <c r="D18" s="76" t="s">
        <v>1</v>
      </c>
      <c r="E18" s="76" t="s">
        <v>1</v>
      </c>
      <c r="F18" s="76" t="s">
        <v>1</v>
      </c>
      <c r="G18" s="76">
        <v>5730333</v>
      </c>
      <c r="H18" s="76">
        <v>13570624</v>
      </c>
      <c r="I18" s="174">
        <v>21724480</v>
      </c>
    </row>
    <row r="19" spans="1:19" ht="28.8" thickBot="1">
      <c r="A19" s="242" t="s">
        <v>169</v>
      </c>
      <c r="B19" s="194">
        <v>1209686009</v>
      </c>
      <c r="C19" s="194">
        <v>1458516465.5601699</v>
      </c>
      <c r="D19" s="194">
        <v>1716622954</v>
      </c>
      <c r="E19" s="194">
        <v>2071375707</v>
      </c>
      <c r="F19" s="194">
        <v>2366972400</v>
      </c>
      <c r="G19" s="194">
        <v>2752464808</v>
      </c>
      <c r="H19" s="194">
        <v>3608752002</v>
      </c>
      <c r="I19" s="197">
        <v>4882783411</v>
      </c>
    </row>
    <row r="20" spans="1:19" ht="15" thickBot="1">
      <c r="A20" s="14"/>
      <c r="B20" s="77"/>
      <c r="C20" s="77"/>
      <c r="D20" s="77"/>
      <c r="E20" s="77"/>
      <c r="F20" s="70"/>
      <c r="G20" s="10"/>
      <c r="H20" s="10"/>
      <c r="I20" s="10"/>
    </row>
    <row r="21" spans="1:19" ht="15" thickBot="1">
      <c r="A21" s="339" t="s">
        <v>168</v>
      </c>
      <c r="B21" s="340"/>
      <c r="C21" s="340"/>
      <c r="D21" s="340"/>
      <c r="E21" s="340"/>
      <c r="F21" s="340"/>
      <c r="G21" s="340"/>
      <c r="H21" s="341" t="s">
        <v>127</v>
      </c>
      <c r="I21" s="342"/>
    </row>
    <row r="22" spans="1:19">
      <c r="A22" s="188"/>
      <c r="B22" s="182">
        <v>2014</v>
      </c>
      <c r="C22" s="182">
        <v>2015</v>
      </c>
      <c r="D22" s="182">
        <v>2016</v>
      </c>
      <c r="E22" s="182">
        <v>2017</v>
      </c>
      <c r="F22" s="182">
        <v>2018</v>
      </c>
      <c r="G22" s="182">
        <v>2019</v>
      </c>
      <c r="H22" s="182">
        <v>2020</v>
      </c>
      <c r="I22" s="189">
        <v>2021</v>
      </c>
    </row>
    <row r="23" spans="1:19">
      <c r="A23" s="72" t="s">
        <v>187</v>
      </c>
      <c r="B23" s="10">
        <v>16643218</v>
      </c>
      <c r="C23" s="10">
        <v>20346178</v>
      </c>
      <c r="D23" s="10">
        <v>23155134</v>
      </c>
      <c r="E23" s="10">
        <v>25309840</v>
      </c>
      <c r="F23" s="10">
        <v>28623473</v>
      </c>
      <c r="G23" s="10">
        <v>39769408</v>
      </c>
      <c r="H23" s="10">
        <v>51613124</v>
      </c>
      <c r="I23" s="69">
        <v>91236649</v>
      </c>
    </row>
    <row r="24" spans="1:19">
      <c r="A24" s="72" t="s">
        <v>188</v>
      </c>
      <c r="B24" s="10">
        <v>22144614</v>
      </c>
      <c r="C24" s="10">
        <v>28122666</v>
      </c>
      <c r="D24" s="10">
        <v>31901763</v>
      </c>
      <c r="E24" s="10">
        <v>39857400</v>
      </c>
      <c r="F24" s="10">
        <v>53986278</v>
      </c>
      <c r="G24" s="10">
        <v>85494387</v>
      </c>
      <c r="H24" s="10">
        <v>122172984</v>
      </c>
      <c r="I24" s="69">
        <v>212105389</v>
      </c>
    </row>
    <row r="25" spans="1:19">
      <c r="A25" s="72" t="s">
        <v>189</v>
      </c>
      <c r="B25" s="10">
        <v>19112760</v>
      </c>
      <c r="C25" s="10">
        <v>22177414</v>
      </c>
      <c r="D25" s="10">
        <v>21064781</v>
      </c>
      <c r="E25" s="10">
        <v>22030496</v>
      </c>
      <c r="F25" s="10">
        <v>26862479</v>
      </c>
      <c r="G25" s="10">
        <v>39974514</v>
      </c>
      <c r="H25" s="10">
        <v>57390586</v>
      </c>
      <c r="I25" s="69">
        <v>84477543</v>
      </c>
    </row>
    <row r="26" spans="1:19">
      <c r="A26" s="72" t="s">
        <v>190</v>
      </c>
      <c r="B26" s="76" t="s">
        <v>1</v>
      </c>
      <c r="C26" s="76">
        <v>1256305</v>
      </c>
      <c r="D26" s="76">
        <v>5636002</v>
      </c>
      <c r="E26" s="76">
        <v>10024595</v>
      </c>
      <c r="F26" s="76">
        <v>15151098</v>
      </c>
      <c r="G26" s="76">
        <v>25457245</v>
      </c>
      <c r="H26" s="76">
        <v>46386150</v>
      </c>
      <c r="I26" s="174">
        <v>77933897</v>
      </c>
    </row>
    <row r="27" spans="1:19">
      <c r="A27" s="72" t="s">
        <v>191</v>
      </c>
      <c r="B27" s="76" t="s">
        <v>1</v>
      </c>
      <c r="C27" s="76" t="s">
        <v>1</v>
      </c>
      <c r="D27" s="76">
        <v>3034756</v>
      </c>
      <c r="E27" s="76">
        <v>10088414</v>
      </c>
      <c r="F27" s="76">
        <v>15182406</v>
      </c>
      <c r="G27" s="76">
        <v>22953215</v>
      </c>
      <c r="H27" s="76">
        <v>39566471</v>
      </c>
      <c r="I27" s="174">
        <v>73625445</v>
      </c>
    </row>
    <row r="28" spans="1:19">
      <c r="A28" s="72" t="s">
        <v>192</v>
      </c>
      <c r="B28" s="76" t="s">
        <v>1</v>
      </c>
      <c r="C28" s="76" t="s">
        <v>1</v>
      </c>
      <c r="D28" s="76" t="s">
        <v>1</v>
      </c>
      <c r="E28" s="76" t="s">
        <v>1</v>
      </c>
      <c r="F28" s="76" t="s">
        <v>1</v>
      </c>
      <c r="G28" s="76">
        <v>5952676</v>
      </c>
      <c r="H28" s="76">
        <v>11677400</v>
      </c>
      <c r="I28" s="174">
        <v>26793349</v>
      </c>
    </row>
    <row r="29" spans="1:19" ht="28.8" thickBot="1">
      <c r="A29" s="242" t="s">
        <v>169</v>
      </c>
      <c r="B29" s="194">
        <v>1057637524</v>
      </c>
      <c r="C29" s="194">
        <v>1250697536</v>
      </c>
      <c r="D29" s="194">
        <v>1462843620</v>
      </c>
      <c r="E29" s="194">
        <v>1713185374.8874102</v>
      </c>
      <c r="F29" s="194">
        <v>2036664907</v>
      </c>
      <c r="G29" s="194">
        <v>2474956495</v>
      </c>
      <c r="H29" s="194">
        <v>3308202543</v>
      </c>
      <c r="I29" s="197">
        <v>5011889087</v>
      </c>
    </row>
    <row r="30" spans="1:19">
      <c r="A30" s="324"/>
      <c r="B30" s="77"/>
      <c r="C30" s="77"/>
      <c r="D30" s="77"/>
      <c r="E30" s="77"/>
      <c r="F30" s="77"/>
      <c r="G30" s="77"/>
      <c r="H30" s="77"/>
      <c r="I30" s="77"/>
    </row>
    <row r="31" spans="1:19">
      <c r="A31" s="318" t="s">
        <v>232</v>
      </c>
      <c r="B31" s="318"/>
      <c r="C31" s="318"/>
      <c r="D31" s="318"/>
      <c r="E31" s="318"/>
      <c r="F31" s="319"/>
      <c r="G31" s="2"/>
      <c r="H31" s="2"/>
      <c r="I31" s="2"/>
    </row>
    <row r="32" spans="1:19" ht="15" thickBot="1">
      <c r="A32" s="208"/>
      <c r="B32" s="208"/>
      <c r="C32" s="208"/>
      <c r="D32" s="208"/>
      <c r="E32" s="208"/>
      <c r="F32" s="208"/>
      <c r="G32" s="349" t="s">
        <v>127</v>
      </c>
      <c r="H32" s="349"/>
      <c r="I32" s="349"/>
      <c r="K32" s="208"/>
      <c r="L32" s="208"/>
      <c r="M32" s="208"/>
      <c r="N32" s="208"/>
      <c r="O32" s="208"/>
      <c r="P32" s="208"/>
      <c r="Q32" s="349" t="s">
        <v>238</v>
      </c>
      <c r="R32" s="349"/>
      <c r="S32" s="349"/>
    </row>
    <row r="33" spans="1:30">
      <c r="A33" s="209"/>
      <c r="B33" s="210">
        <v>2014</v>
      </c>
      <c r="C33" s="210">
        <v>2015</v>
      </c>
      <c r="D33" s="210">
        <v>2016</v>
      </c>
      <c r="E33" s="210">
        <v>2017</v>
      </c>
      <c r="F33" s="210">
        <v>2018</v>
      </c>
      <c r="G33" s="210">
        <v>2019</v>
      </c>
      <c r="H33" s="210">
        <v>2020</v>
      </c>
      <c r="I33" s="211">
        <v>2021</v>
      </c>
      <c r="K33" s="209"/>
      <c r="L33" s="210">
        <v>2014</v>
      </c>
      <c r="M33" s="210">
        <v>2015</v>
      </c>
      <c r="N33" s="210">
        <v>2016</v>
      </c>
      <c r="O33" s="210">
        <v>2017</v>
      </c>
      <c r="P33" s="210">
        <v>2018</v>
      </c>
      <c r="Q33" s="210">
        <v>2019</v>
      </c>
      <c r="R33" s="210">
        <v>2020</v>
      </c>
      <c r="S33" s="211">
        <v>2021</v>
      </c>
    </row>
    <row r="34" spans="1:30">
      <c r="A34" s="200" t="s">
        <v>187</v>
      </c>
      <c r="B34" s="212">
        <v>3129186</v>
      </c>
      <c r="C34" s="212">
        <v>4904798</v>
      </c>
      <c r="D34" s="212">
        <v>4999052</v>
      </c>
      <c r="E34" s="212">
        <v>5756995</v>
      </c>
      <c r="F34" s="212">
        <v>5918381</v>
      </c>
      <c r="G34" s="212">
        <v>8795909</v>
      </c>
      <c r="H34" s="212">
        <v>13235008</v>
      </c>
      <c r="I34" s="213">
        <v>26498611</v>
      </c>
      <c r="K34" s="200" t="s">
        <v>187</v>
      </c>
      <c r="L34" s="212">
        <f>B34/1000</f>
        <v>3129.1860000000001</v>
      </c>
      <c r="M34" s="212">
        <f t="shared" ref="M34:S39" si="0">C34/1000</f>
        <v>4904.7979999999998</v>
      </c>
      <c r="N34" s="212">
        <f t="shared" si="0"/>
        <v>4999.0519999999997</v>
      </c>
      <c r="O34" s="212">
        <f t="shared" si="0"/>
        <v>5756.9949999999999</v>
      </c>
      <c r="P34" s="212">
        <f t="shared" si="0"/>
        <v>5918.3810000000003</v>
      </c>
      <c r="Q34" s="212">
        <f t="shared" si="0"/>
        <v>8795.9089999999997</v>
      </c>
      <c r="R34" s="212">
        <f t="shared" si="0"/>
        <v>13235.008</v>
      </c>
      <c r="S34" s="212">
        <f t="shared" si="0"/>
        <v>26498.611000000001</v>
      </c>
    </row>
    <row r="35" spans="1:30">
      <c r="A35" s="200" t="s">
        <v>188</v>
      </c>
      <c r="B35" s="212">
        <v>6584642</v>
      </c>
      <c r="C35" s="212">
        <v>7568815</v>
      </c>
      <c r="D35" s="212">
        <v>8303052</v>
      </c>
      <c r="E35" s="212">
        <v>8932856</v>
      </c>
      <c r="F35" s="212">
        <v>10436088</v>
      </c>
      <c r="G35" s="212">
        <v>18893086</v>
      </c>
      <c r="H35" s="212">
        <v>24647910</v>
      </c>
      <c r="I35" s="213">
        <v>65455316</v>
      </c>
      <c r="K35" s="200" t="s">
        <v>188</v>
      </c>
      <c r="L35" s="212">
        <f t="shared" ref="L35:L36" si="1">B35/1000</f>
        <v>6584.6419999999998</v>
      </c>
      <c r="M35" s="212">
        <f t="shared" si="0"/>
        <v>7568.8149999999996</v>
      </c>
      <c r="N35" s="212">
        <f t="shared" si="0"/>
        <v>8303.0519999999997</v>
      </c>
      <c r="O35" s="212">
        <f t="shared" si="0"/>
        <v>8932.8559999999998</v>
      </c>
      <c r="P35" s="212">
        <f t="shared" si="0"/>
        <v>10436.088</v>
      </c>
      <c r="Q35" s="212">
        <f t="shared" si="0"/>
        <v>18893.085999999999</v>
      </c>
      <c r="R35" s="212">
        <f t="shared" si="0"/>
        <v>24647.91</v>
      </c>
      <c r="S35" s="212">
        <f t="shared" si="0"/>
        <v>65455.315999999999</v>
      </c>
    </row>
    <row r="36" spans="1:30">
      <c r="A36" s="200" t="s">
        <v>189</v>
      </c>
      <c r="B36" s="212">
        <v>5156624</v>
      </c>
      <c r="C36" s="212">
        <v>5372503</v>
      </c>
      <c r="D36" s="212">
        <v>5668857</v>
      </c>
      <c r="E36" s="212">
        <v>6084201</v>
      </c>
      <c r="F36" s="212">
        <v>8598464</v>
      </c>
      <c r="G36" s="212">
        <v>8108551</v>
      </c>
      <c r="H36" s="212">
        <v>12660566</v>
      </c>
      <c r="I36" s="213">
        <v>24205153</v>
      </c>
      <c r="K36" s="200" t="s">
        <v>189</v>
      </c>
      <c r="L36" s="212">
        <f t="shared" si="1"/>
        <v>5156.6239999999998</v>
      </c>
      <c r="M36" s="212">
        <f t="shared" si="0"/>
        <v>5372.5029999999997</v>
      </c>
      <c r="N36" s="212">
        <f t="shared" si="0"/>
        <v>5668.857</v>
      </c>
      <c r="O36" s="212">
        <f t="shared" si="0"/>
        <v>6084.201</v>
      </c>
      <c r="P36" s="212">
        <f t="shared" si="0"/>
        <v>8598.4639999999999</v>
      </c>
      <c r="Q36" s="212">
        <f t="shared" si="0"/>
        <v>8108.5510000000004</v>
      </c>
      <c r="R36" s="212">
        <f t="shared" si="0"/>
        <v>12660.566000000001</v>
      </c>
      <c r="S36" s="212">
        <f t="shared" si="0"/>
        <v>24205.152999999998</v>
      </c>
    </row>
    <row r="37" spans="1:30">
      <c r="A37" s="200" t="s">
        <v>190</v>
      </c>
      <c r="B37" s="212"/>
      <c r="C37" s="212"/>
      <c r="D37" s="212">
        <v>1201298</v>
      </c>
      <c r="E37" s="212">
        <v>1643689</v>
      </c>
      <c r="F37" s="212">
        <v>2007313</v>
      </c>
      <c r="G37" s="212">
        <v>2894439</v>
      </c>
      <c r="H37" s="212">
        <v>5477120</v>
      </c>
      <c r="I37" s="213">
        <v>15290691</v>
      </c>
      <c r="K37" s="200" t="s">
        <v>190</v>
      </c>
      <c r="L37" s="212"/>
      <c r="M37" s="212"/>
      <c r="N37" s="212">
        <f t="shared" si="0"/>
        <v>1201.298</v>
      </c>
      <c r="O37" s="212">
        <f t="shared" si="0"/>
        <v>1643.6890000000001</v>
      </c>
      <c r="P37" s="212">
        <f t="shared" si="0"/>
        <v>2007.3130000000001</v>
      </c>
      <c r="Q37" s="212">
        <f t="shared" si="0"/>
        <v>2894.4389999999999</v>
      </c>
      <c r="R37" s="212">
        <f t="shared" si="0"/>
        <v>5477.12</v>
      </c>
      <c r="S37" s="212">
        <f t="shared" si="0"/>
        <v>15290.691000000001</v>
      </c>
    </row>
    <row r="38" spans="1:30">
      <c r="A38" s="200" t="s">
        <v>191</v>
      </c>
      <c r="B38" s="212"/>
      <c r="C38" s="212"/>
      <c r="D38" s="212"/>
      <c r="E38" s="212">
        <v>2189837</v>
      </c>
      <c r="F38" s="212">
        <v>4135990</v>
      </c>
      <c r="G38" s="212">
        <v>2932045</v>
      </c>
      <c r="H38" s="212">
        <v>9357790</v>
      </c>
      <c r="I38" s="213">
        <v>18315738</v>
      </c>
      <c r="K38" s="200" t="s">
        <v>191</v>
      </c>
      <c r="L38" s="212"/>
      <c r="M38" s="274"/>
      <c r="N38" s="212"/>
      <c r="O38" s="212">
        <f t="shared" si="0"/>
        <v>2189.837</v>
      </c>
      <c r="P38" s="212">
        <f t="shared" si="0"/>
        <v>4135.99</v>
      </c>
      <c r="Q38" s="212">
        <f t="shared" si="0"/>
        <v>2932.0450000000001</v>
      </c>
      <c r="R38" s="212">
        <f t="shared" si="0"/>
        <v>9357.7900000000009</v>
      </c>
      <c r="S38" s="212">
        <f t="shared" si="0"/>
        <v>18315.738000000001</v>
      </c>
    </row>
    <row r="39" spans="1:30">
      <c r="A39" s="200" t="s">
        <v>192</v>
      </c>
      <c r="B39" s="212"/>
      <c r="C39" s="212"/>
      <c r="D39" s="212"/>
      <c r="E39" s="212"/>
      <c r="F39" s="212"/>
      <c r="G39" s="212"/>
      <c r="H39" s="212">
        <v>2267097</v>
      </c>
      <c r="I39" s="213">
        <v>6236435</v>
      </c>
      <c r="K39" s="200" t="s">
        <v>192</v>
      </c>
      <c r="L39" s="212"/>
      <c r="M39" s="212"/>
      <c r="N39" s="212"/>
      <c r="O39" s="212"/>
      <c r="P39" s="303"/>
      <c r="Q39" s="212"/>
      <c r="R39" s="212">
        <f t="shared" si="0"/>
        <v>2267.0970000000002</v>
      </c>
      <c r="S39" s="212">
        <f t="shared" si="0"/>
        <v>6236.4350000000004</v>
      </c>
    </row>
    <row r="40" spans="1:30">
      <c r="A40" s="201" t="s">
        <v>0</v>
      </c>
      <c r="B40" s="203">
        <f>SUM(B34:B39)</f>
        <v>14870452</v>
      </c>
      <c r="C40" s="203">
        <f t="shared" ref="C40:I40" si="2">SUM(C34:C39)</f>
        <v>17846116</v>
      </c>
      <c r="D40" s="203">
        <f t="shared" si="2"/>
        <v>20172259</v>
      </c>
      <c r="E40" s="203">
        <f t="shared" si="2"/>
        <v>24607578</v>
      </c>
      <c r="F40" s="203">
        <f t="shared" si="2"/>
        <v>31096236</v>
      </c>
      <c r="G40" s="203">
        <f t="shared" si="2"/>
        <v>41624030</v>
      </c>
      <c r="H40" s="203">
        <f t="shared" si="2"/>
        <v>67645491</v>
      </c>
      <c r="I40" s="204">
        <f t="shared" si="2"/>
        <v>156001944</v>
      </c>
      <c r="K40" s="201" t="s">
        <v>0</v>
      </c>
      <c r="L40" s="203">
        <f>SUM(L34:L39)</f>
        <v>14870.451999999999</v>
      </c>
      <c r="M40" s="203">
        <f t="shared" ref="M40:S40" si="3">SUM(M34:M39)</f>
        <v>17846.115999999998</v>
      </c>
      <c r="N40" s="203">
        <f t="shared" si="3"/>
        <v>20172.258999999998</v>
      </c>
      <c r="O40" s="203">
        <f t="shared" si="3"/>
        <v>24607.577999999998</v>
      </c>
      <c r="P40" s="203">
        <f t="shared" si="3"/>
        <v>31096.235999999997</v>
      </c>
      <c r="Q40" s="203">
        <f t="shared" si="3"/>
        <v>41624.03</v>
      </c>
      <c r="R40" s="203">
        <f t="shared" si="3"/>
        <v>67645.490999999995</v>
      </c>
      <c r="S40" s="204">
        <f t="shared" si="3"/>
        <v>156001.94399999999</v>
      </c>
    </row>
    <row r="41" spans="1:30" ht="15" thickBot="1">
      <c r="A41" s="202" t="s">
        <v>129</v>
      </c>
      <c r="B41" s="205"/>
      <c r="C41" s="206">
        <f>(C40/B40)-1</f>
        <v>0.20010582058971704</v>
      </c>
      <c r="D41" s="206">
        <f t="shared" ref="D41:I41" si="4">(D40/C40)-1</f>
        <v>0.13034449624781108</v>
      </c>
      <c r="E41" s="206">
        <f t="shared" si="4"/>
        <v>0.21987220172019395</v>
      </c>
      <c r="F41" s="206">
        <f t="shared" si="4"/>
        <v>0.26368535741306998</v>
      </c>
      <c r="G41" s="206">
        <f t="shared" si="4"/>
        <v>0.33855525151018284</v>
      </c>
      <c r="H41" s="206">
        <f t="shared" si="4"/>
        <v>0.62515477237547645</v>
      </c>
      <c r="I41" s="207">
        <f t="shared" si="4"/>
        <v>1.3061691428923177</v>
      </c>
      <c r="K41" s="202" t="s">
        <v>129</v>
      </c>
      <c r="L41" s="205"/>
      <c r="M41" s="206">
        <f>(M40/L40)-1</f>
        <v>0.20010582058971704</v>
      </c>
      <c r="N41" s="206">
        <f t="shared" ref="N41" si="5">(N40/M40)-1</f>
        <v>0.13034449624781108</v>
      </c>
      <c r="O41" s="206">
        <f t="shared" ref="O41" si="6">(O40/N40)-1</f>
        <v>0.21987220172019395</v>
      </c>
      <c r="P41" s="206">
        <f t="shared" ref="P41" si="7">(P40/O40)-1</f>
        <v>0.26368535741306998</v>
      </c>
      <c r="Q41" s="206">
        <f t="shared" ref="Q41" si="8">(Q40/P40)-1</f>
        <v>0.33855525151018284</v>
      </c>
      <c r="R41" s="206">
        <f t="shared" ref="R41" si="9">(R40/Q40)-1</f>
        <v>0.62515477237547623</v>
      </c>
      <c r="S41" s="207">
        <f t="shared" ref="S41" si="10">(S40/R40)-1</f>
        <v>1.3061691428923177</v>
      </c>
    </row>
    <row r="42" spans="1:30" ht="27.6" thickBot="1">
      <c r="A42" s="249" t="s">
        <v>169</v>
      </c>
      <c r="B42" s="214">
        <v>214596338</v>
      </c>
      <c r="C42" s="214">
        <v>251700099</v>
      </c>
      <c r="D42" s="214">
        <v>289437636</v>
      </c>
      <c r="E42" s="214">
        <v>340880658</v>
      </c>
      <c r="F42" s="214">
        <v>372246445</v>
      </c>
      <c r="G42" s="214">
        <v>388535153</v>
      </c>
      <c r="H42" s="214">
        <v>610530302</v>
      </c>
      <c r="I42" s="215">
        <v>1284756142</v>
      </c>
      <c r="K42" s="249" t="s">
        <v>169</v>
      </c>
      <c r="L42" s="214">
        <f>B42/1000</f>
        <v>214596.33799999999</v>
      </c>
      <c r="M42" s="214">
        <f t="shared" ref="M42:S42" si="11">C42/1000</f>
        <v>251700.09899999999</v>
      </c>
      <c r="N42" s="214">
        <f t="shared" si="11"/>
        <v>289437.636</v>
      </c>
      <c r="O42" s="214">
        <f t="shared" si="11"/>
        <v>340880.658</v>
      </c>
      <c r="P42" s="214">
        <f t="shared" si="11"/>
        <v>372246.44500000001</v>
      </c>
      <c r="Q42" s="214">
        <f t="shared" si="11"/>
        <v>388535.15299999999</v>
      </c>
      <c r="R42" s="214">
        <f t="shared" si="11"/>
        <v>610530.30200000003</v>
      </c>
      <c r="S42" s="215">
        <f t="shared" si="11"/>
        <v>1284756.142</v>
      </c>
    </row>
    <row r="43" spans="1:30" ht="15" thickBot="1">
      <c r="A43" s="202" t="s">
        <v>129</v>
      </c>
      <c r="B43" s="205"/>
      <c r="C43" s="206">
        <f>(C42/B42)-1</f>
        <v>0.17290025237988926</v>
      </c>
      <c r="D43" s="206">
        <f t="shared" ref="D43" si="12">(D42/C42)-1</f>
        <v>0.14993056081396294</v>
      </c>
      <c r="E43" s="206">
        <f t="shared" ref="E43" si="13">(E42/D42)-1</f>
        <v>0.17773439111422262</v>
      </c>
      <c r="F43" s="206">
        <f t="shared" ref="F43" si="14">(F42/E42)-1</f>
        <v>9.2013982793943017E-2</v>
      </c>
      <c r="G43" s="206">
        <f t="shared" ref="G43" si="15">(G42/F42)-1</f>
        <v>4.3757860467948939E-2</v>
      </c>
      <c r="H43" s="206">
        <f t="shared" ref="H43" si="16">(H42/G42)-1</f>
        <v>0.57136438565701675</v>
      </c>
      <c r="I43" s="207">
        <f t="shared" ref="I43" si="17">(I42/H42)-1</f>
        <v>1.1043282172749551</v>
      </c>
      <c r="K43" s="202" t="s">
        <v>129</v>
      </c>
      <c r="L43" s="205"/>
      <c r="M43" s="206">
        <f>(M42/L42)-1</f>
        <v>0.17290025237988926</v>
      </c>
      <c r="N43" s="206">
        <f t="shared" ref="N43" si="18">(N42/M42)-1</f>
        <v>0.14993056081396294</v>
      </c>
      <c r="O43" s="206">
        <f t="shared" ref="O43" si="19">(O42/N42)-1</f>
        <v>0.17773439111422262</v>
      </c>
      <c r="P43" s="206">
        <f t="shared" ref="P43" si="20">(P42/O42)-1</f>
        <v>9.2013982793943017E-2</v>
      </c>
      <c r="Q43" s="206">
        <f t="shared" ref="Q43" si="21">(Q42/P42)-1</f>
        <v>4.3757860467948717E-2</v>
      </c>
      <c r="R43" s="206">
        <f t="shared" ref="R43" si="22">(R42/Q42)-1</f>
        <v>0.57136438565701675</v>
      </c>
      <c r="S43" s="207">
        <f t="shared" ref="S43" si="23">(S42/R42)-1</f>
        <v>1.1043282172749551</v>
      </c>
    </row>
    <row r="44" spans="1:30">
      <c r="A44" s="14"/>
      <c r="B44" s="76"/>
      <c r="C44" s="76"/>
      <c r="D44" s="76"/>
      <c r="E44" s="76"/>
      <c r="F44" s="76"/>
      <c r="G44" s="76"/>
      <c r="H44" s="76"/>
      <c r="I44" s="76"/>
    </row>
    <row r="45" spans="1:30" s="2" customFormat="1" ht="13.8">
      <c r="A45" s="180"/>
      <c r="B45" s="180"/>
      <c r="C45" s="180"/>
      <c r="D45" s="180"/>
      <c r="E45" s="180"/>
      <c r="F45" s="180"/>
      <c r="G45" s="180"/>
      <c r="H45" s="181"/>
      <c r="I45" s="181"/>
      <c r="J45" s="179"/>
      <c r="K45" s="179"/>
      <c r="L45" s="179"/>
      <c r="M45" s="179"/>
      <c r="N45" s="179"/>
      <c r="O45" s="179"/>
      <c r="P45" s="179"/>
      <c r="Q45" s="179"/>
      <c r="R45" s="179"/>
      <c r="S45" s="179"/>
      <c r="T45" s="179"/>
      <c r="U45" s="179"/>
      <c r="V45" s="179"/>
      <c r="W45" s="179"/>
      <c r="X45" s="179"/>
      <c r="Y45" s="179"/>
      <c r="Z45" s="179"/>
      <c r="AA45" s="179"/>
      <c r="AB45" s="179"/>
      <c r="AC45" s="179"/>
      <c r="AD45" s="179"/>
    </row>
    <row r="46" spans="1:30">
      <c r="A46" s="318" t="s">
        <v>231</v>
      </c>
      <c r="B46" s="318"/>
      <c r="C46" s="318"/>
      <c r="D46" s="307"/>
      <c r="E46" s="2"/>
      <c r="F46" s="2"/>
      <c r="G46" s="2"/>
      <c r="H46" s="2"/>
      <c r="I46" s="2"/>
    </row>
    <row r="47" spans="1:30" ht="15" thickBot="1">
      <c r="A47" s="208"/>
      <c r="B47" s="208"/>
      <c r="C47" s="208"/>
      <c r="D47" s="208"/>
      <c r="E47" s="208"/>
      <c r="F47" s="208"/>
      <c r="G47" s="349" t="s">
        <v>127</v>
      </c>
      <c r="H47" s="349"/>
      <c r="I47" s="349"/>
      <c r="K47" s="208"/>
      <c r="L47" s="208"/>
      <c r="M47" s="208"/>
      <c r="N47" s="208"/>
      <c r="O47" s="208"/>
      <c r="P47" s="208"/>
      <c r="Q47" s="349" t="s">
        <v>238</v>
      </c>
      <c r="R47" s="349"/>
      <c r="S47" s="349"/>
    </row>
    <row r="48" spans="1:30">
      <c r="A48" s="209"/>
      <c r="B48" s="210">
        <v>2014</v>
      </c>
      <c r="C48" s="210">
        <v>2015</v>
      </c>
      <c r="D48" s="210">
        <v>2016</v>
      </c>
      <c r="E48" s="210">
        <v>2017</v>
      </c>
      <c r="F48" s="210">
        <v>2018</v>
      </c>
      <c r="G48" s="210">
        <v>2019</v>
      </c>
      <c r="H48" s="210">
        <v>2020</v>
      </c>
      <c r="I48" s="211">
        <v>2021</v>
      </c>
      <c r="K48" s="209"/>
      <c r="L48" s="210">
        <v>2014</v>
      </c>
      <c r="M48" s="210">
        <v>2015</v>
      </c>
      <c r="N48" s="210">
        <v>2016</v>
      </c>
      <c r="O48" s="210">
        <v>2017</v>
      </c>
      <c r="P48" s="210">
        <v>2018</v>
      </c>
      <c r="Q48" s="210">
        <v>2019</v>
      </c>
      <c r="R48" s="210">
        <v>2020</v>
      </c>
      <c r="S48" s="211">
        <v>2021</v>
      </c>
    </row>
    <row r="49" spans="1:30">
      <c r="A49" s="200" t="s">
        <v>187</v>
      </c>
      <c r="B49" s="212">
        <v>1648235</v>
      </c>
      <c r="C49" s="212">
        <v>2482614</v>
      </c>
      <c r="D49" s="212">
        <v>2158177</v>
      </c>
      <c r="E49" s="212">
        <v>1511407</v>
      </c>
      <c r="F49" s="212">
        <v>5217047</v>
      </c>
      <c r="G49" s="212">
        <v>4187332</v>
      </c>
      <c r="H49" s="212">
        <v>3413346</v>
      </c>
      <c r="I49" s="213">
        <v>5296422</v>
      </c>
      <c r="K49" s="200" t="s">
        <v>187</v>
      </c>
      <c r="L49" s="212">
        <f>B49/1000</f>
        <v>1648.2349999999999</v>
      </c>
      <c r="M49" s="212">
        <f t="shared" ref="M49:S54" si="24">C49/1000</f>
        <v>2482.614</v>
      </c>
      <c r="N49" s="212">
        <f t="shared" si="24"/>
        <v>2158.1770000000001</v>
      </c>
      <c r="O49" s="212">
        <f t="shared" si="24"/>
        <v>1511.4069999999999</v>
      </c>
      <c r="P49" s="212">
        <f t="shared" si="24"/>
        <v>5217.0469999999996</v>
      </c>
      <c r="Q49" s="212">
        <f t="shared" si="24"/>
        <v>4187.3320000000003</v>
      </c>
      <c r="R49" s="212">
        <f t="shared" si="24"/>
        <v>3413.346</v>
      </c>
      <c r="S49" s="212">
        <f t="shared" si="24"/>
        <v>5296.4219999999996</v>
      </c>
    </row>
    <row r="50" spans="1:30">
      <c r="A50" s="200" t="s">
        <v>188</v>
      </c>
      <c r="B50" s="212">
        <v>2667534</v>
      </c>
      <c r="C50" s="212">
        <v>3583494</v>
      </c>
      <c r="D50" s="212">
        <v>4698081</v>
      </c>
      <c r="E50" s="212">
        <v>3576020</v>
      </c>
      <c r="F50" s="212">
        <v>6419648</v>
      </c>
      <c r="G50" s="212">
        <v>6990830</v>
      </c>
      <c r="H50" s="212">
        <v>5809467</v>
      </c>
      <c r="I50" s="213">
        <v>14522944</v>
      </c>
      <c r="K50" s="200" t="s">
        <v>188</v>
      </c>
      <c r="L50" s="212">
        <f t="shared" ref="L50:L51" si="25">B50/1000</f>
        <v>2667.5340000000001</v>
      </c>
      <c r="M50" s="212">
        <f t="shared" si="24"/>
        <v>3583.4940000000001</v>
      </c>
      <c r="N50" s="212">
        <f t="shared" si="24"/>
        <v>4698.0810000000001</v>
      </c>
      <c r="O50" s="212">
        <f t="shared" si="24"/>
        <v>3576.02</v>
      </c>
      <c r="P50" s="212">
        <f t="shared" si="24"/>
        <v>6419.6480000000001</v>
      </c>
      <c r="Q50" s="212">
        <f t="shared" si="24"/>
        <v>6990.83</v>
      </c>
      <c r="R50" s="212">
        <f t="shared" si="24"/>
        <v>5809.4669999999996</v>
      </c>
      <c r="S50" s="212">
        <f t="shared" si="24"/>
        <v>14522.944</v>
      </c>
    </row>
    <row r="51" spans="1:30">
      <c r="A51" s="200" t="s">
        <v>189</v>
      </c>
      <c r="B51" s="212">
        <v>572606</v>
      </c>
      <c r="C51" s="212">
        <v>225369</v>
      </c>
      <c r="D51" s="212">
        <v>561766</v>
      </c>
      <c r="E51" s="212">
        <v>307436</v>
      </c>
      <c r="F51" s="212">
        <v>1435300</v>
      </c>
      <c r="G51" s="212">
        <v>3603961</v>
      </c>
      <c r="H51" s="212">
        <v>7146052</v>
      </c>
      <c r="I51" s="213">
        <v>7000050</v>
      </c>
      <c r="K51" s="200" t="s">
        <v>189</v>
      </c>
      <c r="L51" s="212">
        <f t="shared" si="25"/>
        <v>572.60599999999999</v>
      </c>
      <c r="M51" s="212">
        <f t="shared" si="24"/>
        <v>225.369</v>
      </c>
      <c r="N51" s="212">
        <f t="shared" si="24"/>
        <v>561.76599999999996</v>
      </c>
      <c r="O51" s="212">
        <f t="shared" si="24"/>
        <v>307.43599999999998</v>
      </c>
      <c r="P51" s="212">
        <f t="shared" si="24"/>
        <v>1435.3</v>
      </c>
      <c r="Q51" s="212">
        <f t="shared" si="24"/>
        <v>3603.9609999999998</v>
      </c>
      <c r="R51" s="212">
        <f t="shared" si="24"/>
        <v>7146.0519999999997</v>
      </c>
      <c r="S51" s="212">
        <f t="shared" si="24"/>
        <v>7000.05</v>
      </c>
    </row>
    <row r="52" spans="1:30">
      <c r="A52" s="200" t="s">
        <v>190</v>
      </c>
      <c r="B52" s="212"/>
      <c r="C52" s="212"/>
      <c r="D52" s="212">
        <v>468454</v>
      </c>
      <c r="E52" s="212">
        <v>278581</v>
      </c>
      <c r="F52" s="212">
        <v>802706</v>
      </c>
      <c r="G52" s="212">
        <v>916418</v>
      </c>
      <c r="H52" s="212">
        <v>4799768</v>
      </c>
      <c r="I52" s="213">
        <v>3350140</v>
      </c>
      <c r="K52" s="200" t="s">
        <v>190</v>
      </c>
      <c r="L52" s="212"/>
      <c r="M52" s="212"/>
      <c r="N52" s="212">
        <f t="shared" si="24"/>
        <v>468.45400000000001</v>
      </c>
      <c r="O52" s="212">
        <f t="shared" si="24"/>
        <v>278.58100000000002</v>
      </c>
      <c r="P52" s="212">
        <f t="shared" si="24"/>
        <v>802.70600000000002</v>
      </c>
      <c r="Q52" s="212">
        <f t="shared" si="24"/>
        <v>916.41800000000001</v>
      </c>
      <c r="R52" s="212">
        <f t="shared" si="24"/>
        <v>4799.768</v>
      </c>
      <c r="S52" s="212">
        <f t="shared" si="24"/>
        <v>3350.14</v>
      </c>
    </row>
    <row r="53" spans="1:30">
      <c r="A53" s="200" t="s">
        <v>191</v>
      </c>
      <c r="B53" s="212"/>
      <c r="C53" s="212"/>
      <c r="D53" s="212"/>
      <c r="E53" s="212">
        <v>514334</v>
      </c>
      <c r="F53" s="212">
        <v>1393622</v>
      </c>
      <c r="G53" s="212">
        <v>1956364</v>
      </c>
      <c r="H53" s="212">
        <v>687028</v>
      </c>
      <c r="I53" s="213">
        <v>2331387</v>
      </c>
      <c r="K53" s="200" t="s">
        <v>191</v>
      </c>
      <c r="L53" s="212"/>
      <c r="M53" s="212"/>
      <c r="N53" s="212"/>
      <c r="O53" s="212">
        <f t="shared" si="24"/>
        <v>514.33399999999995</v>
      </c>
      <c r="P53" s="212">
        <f t="shared" si="24"/>
        <v>1393.6220000000001</v>
      </c>
      <c r="Q53" s="212">
        <f t="shared" si="24"/>
        <v>1956.364</v>
      </c>
      <c r="R53" s="212">
        <f t="shared" si="24"/>
        <v>687.02800000000002</v>
      </c>
      <c r="S53" s="212">
        <f t="shared" si="24"/>
        <v>2331.3870000000002</v>
      </c>
    </row>
    <row r="54" spans="1:30">
      <c r="A54" s="200" t="s">
        <v>192</v>
      </c>
      <c r="B54" s="212"/>
      <c r="C54" s="212"/>
      <c r="D54" s="212"/>
      <c r="E54" s="212"/>
      <c r="F54" s="212"/>
      <c r="G54" s="212"/>
      <c r="H54" s="212">
        <v>910842</v>
      </c>
      <c r="I54" s="213">
        <v>1533115</v>
      </c>
      <c r="K54" s="200" t="s">
        <v>192</v>
      </c>
      <c r="L54" s="212"/>
      <c r="M54" s="212"/>
      <c r="N54" s="212"/>
      <c r="O54" s="212"/>
      <c r="P54" s="303"/>
      <c r="Q54" s="212"/>
      <c r="R54" s="212">
        <f t="shared" si="24"/>
        <v>910.84199999999998</v>
      </c>
      <c r="S54" s="212">
        <f t="shared" si="24"/>
        <v>1533.115</v>
      </c>
    </row>
    <row r="55" spans="1:30">
      <c r="A55" s="201" t="s">
        <v>0</v>
      </c>
      <c r="B55" s="203">
        <f>SUM(B49:B54)</f>
        <v>4888375</v>
      </c>
      <c r="C55" s="203">
        <f t="shared" ref="C55:I55" si="26">SUM(C49:C54)</f>
        <v>6291477</v>
      </c>
      <c r="D55" s="203">
        <f t="shared" si="26"/>
        <v>7886478</v>
      </c>
      <c r="E55" s="203">
        <f t="shared" si="26"/>
        <v>6187778</v>
      </c>
      <c r="F55" s="203">
        <f t="shared" si="26"/>
        <v>15268323</v>
      </c>
      <c r="G55" s="203">
        <f t="shared" si="26"/>
        <v>17654905</v>
      </c>
      <c r="H55" s="203">
        <f t="shared" si="26"/>
        <v>22766503</v>
      </c>
      <c r="I55" s="204">
        <f t="shared" si="26"/>
        <v>34034058</v>
      </c>
      <c r="K55" s="201" t="s">
        <v>0</v>
      </c>
      <c r="L55" s="203">
        <f>SUM(L49:L54)</f>
        <v>4888.375</v>
      </c>
      <c r="M55" s="203">
        <f t="shared" ref="M55:S55" si="27">SUM(M49:M54)</f>
        <v>6291.4769999999999</v>
      </c>
      <c r="N55" s="203">
        <f t="shared" si="27"/>
        <v>7886.4779999999992</v>
      </c>
      <c r="O55" s="203">
        <f t="shared" si="27"/>
        <v>6187.7779999999993</v>
      </c>
      <c r="P55" s="203">
        <f t="shared" si="27"/>
        <v>15268.322999999999</v>
      </c>
      <c r="Q55" s="203">
        <f t="shared" si="27"/>
        <v>17654.904999999999</v>
      </c>
      <c r="R55" s="203">
        <f t="shared" si="27"/>
        <v>22766.503000000001</v>
      </c>
      <c r="S55" s="204">
        <f t="shared" si="27"/>
        <v>34034.057999999997</v>
      </c>
    </row>
    <row r="56" spans="1:30" ht="15" thickBot="1">
      <c r="A56" s="202" t="s">
        <v>129</v>
      </c>
      <c r="B56" s="205"/>
      <c r="C56" s="206">
        <f>(C55/B55)-1</f>
        <v>0.28702830695271953</v>
      </c>
      <c r="D56" s="206">
        <f t="shared" ref="D56:I56" si="28">(D55/C55)-1</f>
        <v>0.25351773518364618</v>
      </c>
      <c r="E56" s="259">
        <f t="shared" si="28"/>
        <v>-0.21539399463233144</v>
      </c>
      <c r="F56" s="206">
        <f t="shared" si="28"/>
        <v>1.4674968946849742</v>
      </c>
      <c r="G56" s="206">
        <f t="shared" si="28"/>
        <v>0.15630937333458306</v>
      </c>
      <c r="H56" s="206">
        <f t="shared" si="28"/>
        <v>0.2895284908075122</v>
      </c>
      <c r="I56" s="207">
        <f t="shared" si="28"/>
        <v>0.49491812598535656</v>
      </c>
      <c r="K56" s="202" t="s">
        <v>129</v>
      </c>
      <c r="L56" s="205"/>
      <c r="M56" s="206">
        <f>(M55/L55)-1</f>
        <v>0.28702830695271953</v>
      </c>
      <c r="N56" s="206">
        <f t="shared" ref="N56" si="29">(N55/M55)-1</f>
        <v>0.25351773518364595</v>
      </c>
      <c r="O56" s="259">
        <f t="shared" ref="O56" si="30">(O55/N55)-1</f>
        <v>-0.21539399463233144</v>
      </c>
      <c r="P56" s="206">
        <f t="shared" ref="P56" si="31">(P55/O55)-1</f>
        <v>1.4674968946849742</v>
      </c>
      <c r="Q56" s="206">
        <f t="shared" ref="Q56" si="32">(Q55/P55)-1</f>
        <v>0.15630937333458306</v>
      </c>
      <c r="R56" s="206">
        <f t="shared" ref="R56" si="33">(R55/Q55)-1</f>
        <v>0.2895284908075122</v>
      </c>
      <c r="S56" s="207">
        <f t="shared" ref="S56" si="34">(S55/R55)-1</f>
        <v>0.49491812598535656</v>
      </c>
    </row>
    <row r="57" spans="1:30" ht="27.6" thickBot="1">
      <c r="A57" s="249" t="s">
        <v>169</v>
      </c>
      <c r="B57" s="214">
        <v>48114415</v>
      </c>
      <c r="C57" s="214">
        <v>61849069</v>
      </c>
      <c r="D57" s="214">
        <v>67061275</v>
      </c>
      <c r="E57" s="214">
        <v>82154701</v>
      </c>
      <c r="F57" s="214">
        <v>109997559</v>
      </c>
      <c r="G57" s="214">
        <v>136967069</v>
      </c>
      <c r="H57" s="214">
        <v>129682593</v>
      </c>
      <c r="I57" s="215">
        <v>319817995</v>
      </c>
      <c r="K57" s="249" t="s">
        <v>169</v>
      </c>
      <c r="L57" s="214">
        <f>B57/1000</f>
        <v>48114.415000000001</v>
      </c>
      <c r="M57" s="214">
        <f t="shared" ref="M57" si="35">C57/1000</f>
        <v>61849.069000000003</v>
      </c>
      <c r="N57" s="214">
        <f t="shared" ref="N57" si="36">D57/1000</f>
        <v>67061.274999999994</v>
      </c>
      <c r="O57" s="214">
        <f t="shared" ref="O57" si="37">E57/1000</f>
        <v>82154.701000000001</v>
      </c>
      <c r="P57" s="214">
        <f t="shared" ref="P57" si="38">F57/1000</f>
        <v>109997.55899999999</v>
      </c>
      <c r="Q57" s="214">
        <f t="shared" ref="Q57" si="39">G57/1000</f>
        <v>136967.06899999999</v>
      </c>
      <c r="R57" s="214">
        <f t="shared" ref="R57" si="40">H57/1000</f>
        <v>129682.59299999999</v>
      </c>
      <c r="S57" s="215">
        <f t="shared" ref="S57" si="41">I57/1000</f>
        <v>319817.995</v>
      </c>
    </row>
    <row r="58" spans="1:30" ht="15" thickBot="1">
      <c r="A58" s="202" t="s">
        <v>129</v>
      </c>
      <c r="B58" s="205"/>
      <c r="C58" s="206">
        <f>(C57/B57)-1</f>
        <v>0.28545819376583914</v>
      </c>
      <c r="D58" s="206">
        <f t="shared" ref="D58" si="42">(D57/C57)-1</f>
        <v>8.4272990430947381E-2</v>
      </c>
      <c r="E58" s="206">
        <f t="shared" ref="E58" si="43">(E57/D57)-1</f>
        <v>0.22506917740529087</v>
      </c>
      <c r="F58" s="206">
        <f t="shared" ref="F58" si="44">(F57/E57)-1</f>
        <v>0.33890766640365477</v>
      </c>
      <c r="G58" s="206">
        <f t="shared" ref="G58" si="45">(G57/F57)-1</f>
        <v>0.2451828044656883</v>
      </c>
      <c r="H58" s="259">
        <f t="shared" ref="H58" si="46">(H57/G57)-1</f>
        <v>-5.3184141656707262E-2</v>
      </c>
      <c r="I58" s="207">
        <f t="shared" ref="I58" si="47">(I57/H57)-1</f>
        <v>1.4661597798248835</v>
      </c>
      <c r="K58" s="202" t="s">
        <v>129</v>
      </c>
      <c r="L58" s="205"/>
      <c r="M58" s="206">
        <f>(M57/L57)-1</f>
        <v>0.28545819376583914</v>
      </c>
      <c r="N58" s="206">
        <f t="shared" ref="N58" si="48">(N57/M57)-1</f>
        <v>8.4272990430947159E-2</v>
      </c>
      <c r="O58" s="206">
        <f t="shared" ref="O58" si="49">(O57/N57)-1</f>
        <v>0.22506917740529109</v>
      </c>
      <c r="P58" s="206">
        <f t="shared" ref="P58" si="50">(P57/O57)-1</f>
        <v>0.33890766640365455</v>
      </c>
      <c r="Q58" s="206">
        <f t="shared" ref="Q58" si="51">(Q57/P57)-1</f>
        <v>0.24518280446568808</v>
      </c>
      <c r="R58" s="259">
        <f t="shared" ref="R58" si="52">(R57/Q57)-1</f>
        <v>-5.3184141656707262E-2</v>
      </c>
      <c r="S58" s="207">
        <f t="shared" ref="S58" si="53">(S57/R57)-1</f>
        <v>1.4661597798248835</v>
      </c>
    </row>
    <row r="59" spans="1:30">
      <c r="A59" s="176"/>
      <c r="B59" s="176"/>
      <c r="C59" s="176"/>
      <c r="D59" s="176"/>
      <c r="E59" s="176"/>
      <c r="F59" s="176"/>
      <c r="G59" s="176"/>
      <c r="H59" s="177"/>
      <c r="I59" s="177"/>
    </row>
    <row r="60" spans="1:30" s="2" customFormat="1" ht="13.8">
      <c r="A60" s="180"/>
      <c r="B60" s="180"/>
      <c r="C60" s="180"/>
      <c r="D60" s="180"/>
      <c r="E60" s="180"/>
      <c r="F60" s="180"/>
      <c r="G60" s="180"/>
      <c r="H60" s="181"/>
      <c r="I60" s="181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</row>
    <row r="61" spans="1:30">
      <c r="A61" s="318" t="s">
        <v>230</v>
      </c>
      <c r="B61" s="318"/>
      <c r="C61" s="318"/>
      <c r="D61" s="318"/>
      <c r="E61" s="2"/>
      <c r="F61" s="2"/>
      <c r="G61" s="2"/>
      <c r="H61" s="2"/>
      <c r="I61" s="2"/>
    </row>
    <row r="62" spans="1:30" ht="15" thickBot="1">
      <c r="A62" s="208"/>
      <c r="B62" s="208"/>
      <c r="C62" s="208"/>
      <c r="D62" s="208"/>
      <c r="E62" s="208"/>
      <c r="F62" s="208"/>
      <c r="G62" s="349" t="s">
        <v>127</v>
      </c>
      <c r="H62" s="349"/>
      <c r="I62" s="349"/>
      <c r="K62" s="208"/>
      <c r="L62" s="208"/>
      <c r="M62" s="208"/>
      <c r="N62" s="208"/>
      <c r="O62" s="208"/>
      <c r="P62" s="208"/>
      <c r="Q62" s="349" t="s">
        <v>238</v>
      </c>
      <c r="R62" s="349"/>
      <c r="S62" s="349"/>
    </row>
    <row r="63" spans="1:30">
      <c r="A63" s="209"/>
      <c r="B63" s="210">
        <v>2014</v>
      </c>
      <c r="C63" s="210">
        <v>2015</v>
      </c>
      <c r="D63" s="210">
        <v>2016</v>
      </c>
      <c r="E63" s="210">
        <v>2017</v>
      </c>
      <c r="F63" s="210">
        <v>2018</v>
      </c>
      <c r="G63" s="210">
        <v>2019</v>
      </c>
      <c r="H63" s="210">
        <v>2020</v>
      </c>
      <c r="I63" s="211">
        <v>2021</v>
      </c>
      <c r="K63" s="209"/>
      <c r="L63" s="210">
        <v>2014</v>
      </c>
      <c r="M63" s="210">
        <v>2015</v>
      </c>
      <c r="N63" s="210">
        <v>2016</v>
      </c>
      <c r="O63" s="210">
        <v>2017</v>
      </c>
      <c r="P63" s="210">
        <v>2018</v>
      </c>
      <c r="Q63" s="210">
        <v>2019</v>
      </c>
      <c r="R63" s="210">
        <v>2020</v>
      </c>
      <c r="S63" s="211">
        <v>2021</v>
      </c>
    </row>
    <row r="64" spans="1:30">
      <c r="A64" s="200" t="s">
        <v>187</v>
      </c>
      <c r="B64" s="212">
        <v>659760</v>
      </c>
      <c r="C64" s="212">
        <v>1051566</v>
      </c>
      <c r="D64" s="212">
        <v>1382690</v>
      </c>
      <c r="E64" s="212">
        <v>1349233</v>
      </c>
      <c r="F64" s="212">
        <v>1229522</v>
      </c>
      <c r="G64" s="212">
        <v>2014632</v>
      </c>
      <c r="H64" s="212">
        <v>1163448</v>
      </c>
      <c r="I64" s="213">
        <v>752358</v>
      </c>
      <c r="K64" s="200" t="s">
        <v>187</v>
      </c>
      <c r="L64" s="212">
        <f>B64/1000</f>
        <v>659.76</v>
      </c>
      <c r="M64" s="212">
        <f t="shared" ref="M64:S69" si="54">C64/1000</f>
        <v>1051.566</v>
      </c>
      <c r="N64" s="212">
        <f t="shared" si="54"/>
        <v>1382.69</v>
      </c>
      <c r="O64" s="212">
        <f t="shared" si="54"/>
        <v>1349.2329999999999</v>
      </c>
      <c r="P64" s="212">
        <f t="shared" si="54"/>
        <v>1229.5219999999999</v>
      </c>
      <c r="Q64" s="212">
        <f t="shared" si="54"/>
        <v>2014.6320000000001</v>
      </c>
      <c r="R64" s="212">
        <f t="shared" si="54"/>
        <v>1163.4480000000001</v>
      </c>
      <c r="S64" s="212">
        <f t="shared" si="54"/>
        <v>752.35799999999995</v>
      </c>
    </row>
    <row r="65" spans="1:30">
      <c r="A65" s="200" t="s">
        <v>188</v>
      </c>
      <c r="B65" s="212">
        <v>2204189</v>
      </c>
      <c r="C65" s="212">
        <v>2330367</v>
      </c>
      <c r="D65" s="212">
        <v>3592926</v>
      </c>
      <c r="E65" s="212">
        <v>4428065</v>
      </c>
      <c r="F65" s="212">
        <v>6396065</v>
      </c>
      <c r="G65" s="212">
        <v>12630467</v>
      </c>
      <c r="H65" s="212">
        <v>20795073</v>
      </c>
      <c r="I65" s="213">
        <v>32165357</v>
      </c>
      <c r="K65" s="200" t="s">
        <v>188</v>
      </c>
      <c r="L65" s="212">
        <f t="shared" ref="L65:L66" si="55">B65/1000</f>
        <v>2204.1889999999999</v>
      </c>
      <c r="M65" s="212">
        <f t="shared" si="54"/>
        <v>2330.3670000000002</v>
      </c>
      <c r="N65" s="212">
        <f t="shared" si="54"/>
        <v>3592.9259999999999</v>
      </c>
      <c r="O65" s="212">
        <f t="shared" si="54"/>
        <v>4428.0649999999996</v>
      </c>
      <c r="P65" s="212">
        <f t="shared" si="54"/>
        <v>6396.0649999999996</v>
      </c>
      <c r="Q65" s="212">
        <f t="shared" si="54"/>
        <v>12630.467000000001</v>
      </c>
      <c r="R65" s="212">
        <f t="shared" si="54"/>
        <v>20795.073</v>
      </c>
      <c r="S65" s="212">
        <f t="shared" si="54"/>
        <v>32165.357</v>
      </c>
    </row>
    <row r="66" spans="1:30">
      <c r="A66" s="200" t="s">
        <v>189</v>
      </c>
      <c r="B66" s="212">
        <v>1976154</v>
      </c>
      <c r="C66" s="212">
        <v>2284563</v>
      </c>
      <c r="D66" s="212">
        <v>3281267</v>
      </c>
      <c r="E66" s="212">
        <v>3729348</v>
      </c>
      <c r="F66" s="212">
        <v>3107096</v>
      </c>
      <c r="G66" s="212">
        <v>5004537</v>
      </c>
      <c r="H66" s="212">
        <v>8376943</v>
      </c>
      <c r="I66" s="213">
        <v>17176966</v>
      </c>
      <c r="K66" s="200" t="s">
        <v>189</v>
      </c>
      <c r="L66" s="212">
        <f t="shared" si="55"/>
        <v>1976.154</v>
      </c>
      <c r="M66" s="212">
        <f t="shared" si="54"/>
        <v>2284.5630000000001</v>
      </c>
      <c r="N66" s="212">
        <f t="shared" si="54"/>
        <v>3281.2669999999998</v>
      </c>
      <c r="O66" s="212">
        <f t="shared" si="54"/>
        <v>3729.348</v>
      </c>
      <c r="P66" s="212">
        <f t="shared" si="54"/>
        <v>3107.096</v>
      </c>
      <c r="Q66" s="212">
        <f t="shared" si="54"/>
        <v>5004.5370000000003</v>
      </c>
      <c r="R66" s="212">
        <f t="shared" si="54"/>
        <v>8376.9429999999993</v>
      </c>
      <c r="S66" s="212">
        <f t="shared" si="54"/>
        <v>17176.966</v>
      </c>
    </row>
    <row r="67" spans="1:30">
      <c r="A67" s="200" t="s">
        <v>190</v>
      </c>
      <c r="B67" s="212"/>
      <c r="C67" s="212"/>
      <c r="D67" s="212">
        <v>414683</v>
      </c>
      <c r="E67" s="212">
        <v>524173</v>
      </c>
      <c r="F67" s="212">
        <v>2386937</v>
      </c>
      <c r="G67" s="212">
        <v>1304375</v>
      </c>
      <c r="H67" s="212">
        <v>5145732</v>
      </c>
      <c r="I67" s="213">
        <v>8589570</v>
      </c>
      <c r="K67" s="200" t="s">
        <v>190</v>
      </c>
      <c r="L67" s="212"/>
      <c r="M67" s="212"/>
      <c r="N67" s="212">
        <f t="shared" si="54"/>
        <v>414.68299999999999</v>
      </c>
      <c r="O67" s="212">
        <f t="shared" si="54"/>
        <v>524.173</v>
      </c>
      <c r="P67" s="212">
        <f t="shared" si="54"/>
        <v>2386.9369999999999</v>
      </c>
      <c r="Q67" s="212">
        <f t="shared" si="54"/>
        <v>1304.375</v>
      </c>
      <c r="R67" s="212">
        <f t="shared" si="54"/>
        <v>5145.732</v>
      </c>
      <c r="S67" s="212">
        <f t="shared" si="54"/>
        <v>8589.57</v>
      </c>
    </row>
    <row r="68" spans="1:30">
      <c r="A68" s="200" t="s">
        <v>191</v>
      </c>
      <c r="B68" s="212"/>
      <c r="C68" s="212"/>
      <c r="D68" s="212"/>
      <c r="E68" s="212">
        <v>695600</v>
      </c>
      <c r="F68" s="212">
        <v>1442087</v>
      </c>
      <c r="G68" s="212">
        <v>4185139</v>
      </c>
      <c r="H68" s="212">
        <v>9998207</v>
      </c>
      <c r="I68" s="213">
        <v>17215449</v>
      </c>
      <c r="K68" s="200" t="s">
        <v>191</v>
      </c>
      <c r="L68" s="212"/>
      <c r="M68" s="212"/>
      <c r="N68" s="212"/>
      <c r="O68" s="212">
        <f t="shared" si="54"/>
        <v>695.6</v>
      </c>
      <c r="P68" s="212">
        <f t="shared" si="54"/>
        <v>1442.087</v>
      </c>
      <c r="Q68" s="212">
        <f t="shared" si="54"/>
        <v>4185.1390000000001</v>
      </c>
      <c r="R68" s="212">
        <f t="shared" si="54"/>
        <v>9998.2070000000003</v>
      </c>
      <c r="S68" s="212">
        <f t="shared" si="54"/>
        <v>17215.449000000001</v>
      </c>
    </row>
    <row r="69" spans="1:30">
      <c r="A69" s="200" t="s">
        <v>192</v>
      </c>
      <c r="B69" s="212"/>
      <c r="C69" s="212"/>
      <c r="D69" s="212"/>
      <c r="E69" s="212"/>
      <c r="F69" s="212"/>
      <c r="G69" s="212"/>
      <c r="H69" s="212">
        <v>1164390</v>
      </c>
      <c r="I69" s="213">
        <v>4173153</v>
      </c>
      <c r="K69" s="200" t="s">
        <v>192</v>
      </c>
      <c r="L69" s="212"/>
      <c r="M69" s="212"/>
      <c r="N69" s="212"/>
      <c r="O69" s="212"/>
      <c r="P69" s="303"/>
      <c r="Q69" s="212"/>
      <c r="R69" s="212">
        <f t="shared" si="54"/>
        <v>1164.3900000000001</v>
      </c>
      <c r="S69" s="212">
        <f t="shared" si="54"/>
        <v>4173.1530000000002</v>
      </c>
    </row>
    <row r="70" spans="1:30">
      <c r="A70" s="201" t="s">
        <v>0</v>
      </c>
      <c r="B70" s="203">
        <f>SUM(B64:B69)</f>
        <v>4840103</v>
      </c>
      <c r="C70" s="203">
        <f t="shared" ref="C70:I70" si="56">SUM(C64:C69)</f>
        <v>5666496</v>
      </c>
      <c r="D70" s="203">
        <f t="shared" si="56"/>
        <v>8671566</v>
      </c>
      <c r="E70" s="203">
        <f t="shared" si="56"/>
        <v>10726419</v>
      </c>
      <c r="F70" s="203">
        <f t="shared" si="56"/>
        <v>14561707</v>
      </c>
      <c r="G70" s="203">
        <f t="shared" si="56"/>
        <v>25139150</v>
      </c>
      <c r="H70" s="203">
        <f t="shared" si="56"/>
        <v>46643793</v>
      </c>
      <c r="I70" s="204">
        <f t="shared" si="56"/>
        <v>80072853</v>
      </c>
      <c r="K70" s="201" t="s">
        <v>0</v>
      </c>
      <c r="L70" s="203">
        <f>SUM(L64:L69)</f>
        <v>4840.1029999999992</v>
      </c>
      <c r="M70" s="203">
        <f t="shared" ref="M70:S70" si="57">SUM(M64:M69)</f>
        <v>5666.4960000000001</v>
      </c>
      <c r="N70" s="203">
        <f t="shared" si="57"/>
        <v>8671.5659999999989</v>
      </c>
      <c r="O70" s="203">
        <f t="shared" si="57"/>
        <v>10726.419000000002</v>
      </c>
      <c r="P70" s="203">
        <f t="shared" si="57"/>
        <v>14561.706999999999</v>
      </c>
      <c r="Q70" s="203">
        <f t="shared" si="57"/>
        <v>25139.149999999998</v>
      </c>
      <c r="R70" s="203">
        <f t="shared" si="57"/>
        <v>46643.792999999998</v>
      </c>
      <c r="S70" s="204">
        <f t="shared" si="57"/>
        <v>80072.853000000003</v>
      </c>
    </row>
    <row r="71" spans="1:30" ht="15" thickBot="1">
      <c r="A71" s="202" t="s">
        <v>129</v>
      </c>
      <c r="B71" s="205"/>
      <c r="C71" s="206">
        <f>(C70/B70)-1</f>
        <v>0.17073872188257155</v>
      </c>
      <c r="D71" s="206">
        <f t="shared" ref="D71:I71" si="58">(D70/C70)-1</f>
        <v>0.53032244265239048</v>
      </c>
      <c r="E71" s="206">
        <f t="shared" si="58"/>
        <v>0.23696446524191828</v>
      </c>
      <c r="F71" s="206">
        <f t="shared" si="58"/>
        <v>0.35755530340554476</v>
      </c>
      <c r="G71" s="206">
        <f t="shared" si="58"/>
        <v>0.72638757255588238</v>
      </c>
      <c r="H71" s="206">
        <f t="shared" si="58"/>
        <v>0.85542442763577919</v>
      </c>
      <c r="I71" s="207">
        <f t="shared" si="58"/>
        <v>0.71668828476277646</v>
      </c>
      <c r="K71" s="202" t="s">
        <v>129</v>
      </c>
      <c r="L71" s="205"/>
      <c r="M71" s="206">
        <f>(M70/L70)-1</f>
        <v>0.17073872188257178</v>
      </c>
      <c r="N71" s="206">
        <f t="shared" ref="N71" si="59">(N70/M70)-1</f>
        <v>0.53032244265239026</v>
      </c>
      <c r="O71" s="206">
        <f t="shared" ref="O71" si="60">(O70/N70)-1</f>
        <v>0.2369644652419185</v>
      </c>
      <c r="P71" s="206">
        <f t="shared" ref="P71" si="61">(P70/O70)-1</f>
        <v>0.35755530340554431</v>
      </c>
      <c r="Q71" s="206">
        <f t="shared" ref="Q71" si="62">(Q70/P70)-1</f>
        <v>0.72638757255588238</v>
      </c>
      <c r="R71" s="206">
        <f t="shared" ref="R71" si="63">(R70/Q70)-1</f>
        <v>0.85542442763577942</v>
      </c>
      <c r="S71" s="207">
        <f t="shared" ref="S71" si="64">(S70/R70)-1</f>
        <v>0.71668828476277668</v>
      </c>
    </row>
    <row r="72" spans="1:30" ht="27.6" thickBot="1">
      <c r="A72" s="249" t="s">
        <v>169</v>
      </c>
      <c r="B72" s="214">
        <v>225967985</v>
      </c>
      <c r="C72" s="214">
        <v>242931714</v>
      </c>
      <c r="D72" s="214">
        <v>244025717</v>
      </c>
      <c r="E72" s="214">
        <v>269088629</v>
      </c>
      <c r="F72" s="214">
        <v>256890702</v>
      </c>
      <c r="G72" s="214">
        <v>364906546</v>
      </c>
      <c r="H72" s="214">
        <v>570150965</v>
      </c>
      <c r="I72" s="215">
        <v>832586996</v>
      </c>
      <c r="K72" s="249" t="s">
        <v>169</v>
      </c>
      <c r="L72" s="214">
        <f>B72/1000</f>
        <v>225967.98499999999</v>
      </c>
      <c r="M72" s="214">
        <f t="shared" ref="M72" si="65">C72/1000</f>
        <v>242931.71400000001</v>
      </c>
      <c r="N72" s="214">
        <f t="shared" ref="N72" si="66">D72/1000</f>
        <v>244025.717</v>
      </c>
      <c r="O72" s="214">
        <f t="shared" ref="O72" si="67">E72/1000</f>
        <v>269088.62900000002</v>
      </c>
      <c r="P72" s="214">
        <f t="shared" ref="P72" si="68">F72/1000</f>
        <v>256890.70199999999</v>
      </c>
      <c r="Q72" s="214">
        <f t="shared" ref="Q72" si="69">G72/1000</f>
        <v>364906.54599999997</v>
      </c>
      <c r="R72" s="214">
        <f t="shared" ref="R72" si="70">H72/1000</f>
        <v>570150.96499999997</v>
      </c>
      <c r="S72" s="215">
        <f t="shared" ref="S72" si="71">I72/1000</f>
        <v>832586.99600000004</v>
      </c>
    </row>
    <row r="73" spans="1:30" ht="15" thickBot="1">
      <c r="A73" s="202" t="s">
        <v>129</v>
      </c>
      <c r="B73" s="205"/>
      <c r="C73" s="206">
        <f>(C72/B72)-1</f>
        <v>7.5071382346485915E-2</v>
      </c>
      <c r="D73" s="206">
        <f t="shared" ref="D73" si="72">(D72/C72)-1</f>
        <v>4.5033354517063362E-3</v>
      </c>
      <c r="E73" s="206">
        <f t="shared" ref="E73" si="73">(E72/D72)-1</f>
        <v>0.10270602749627411</v>
      </c>
      <c r="F73" s="259">
        <f t="shared" ref="F73" si="74">(F72/E72)-1</f>
        <v>-4.5330518221191718E-2</v>
      </c>
      <c r="G73" s="206">
        <f t="shared" ref="G73" si="75">(G72/F72)-1</f>
        <v>0.4204739336965182</v>
      </c>
      <c r="H73" s="206">
        <f t="shared" ref="H73" si="76">(H72/G72)-1</f>
        <v>0.56245748740281565</v>
      </c>
      <c r="I73" s="207">
        <f t="shared" ref="I73" si="77">(I72/H72)-1</f>
        <v>0.46029218068586442</v>
      </c>
      <c r="K73" s="202" t="s">
        <v>129</v>
      </c>
      <c r="L73" s="205"/>
      <c r="M73" s="206">
        <f>(M72/L72)-1</f>
        <v>7.5071382346486137E-2</v>
      </c>
      <c r="N73" s="206">
        <f t="shared" ref="N73" si="78">(N72/M72)-1</f>
        <v>4.5033354517063362E-3</v>
      </c>
      <c r="O73" s="206">
        <f t="shared" ref="O73" si="79">(O72/N72)-1</f>
        <v>0.10270602749627411</v>
      </c>
      <c r="P73" s="259">
        <f t="shared" ref="P73" si="80">(P72/O72)-1</f>
        <v>-4.5330518221191829E-2</v>
      </c>
      <c r="Q73" s="206">
        <f t="shared" ref="Q73" si="81">(Q72/P72)-1</f>
        <v>0.4204739336965182</v>
      </c>
      <c r="R73" s="206">
        <f t="shared" ref="R73" si="82">(R72/Q72)-1</f>
        <v>0.56245748740281587</v>
      </c>
      <c r="S73" s="207">
        <f t="shared" ref="S73" si="83">(S72/R72)-1</f>
        <v>0.46029218068586464</v>
      </c>
    </row>
    <row r="75" spans="1:30" s="2" customFormat="1" ht="13.8">
      <c r="A75" s="180"/>
      <c r="B75" s="180"/>
      <c r="C75" s="180"/>
      <c r="D75" s="180"/>
      <c r="E75" s="180"/>
      <c r="F75" s="180"/>
      <c r="G75" s="180"/>
      <c r="H75" s="181"/>
      <c r="I75" s="181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</row>
    <row r="76" spans="1:30">
      <c r="A76" s="318" t="s">
        <v>236</v>
      </c>
      <c r="B76" s="318"/>
      <c r="C76" s="318"/>
      <c r="D76" s="318"/>
      <c r="E76" s="2"/>
      <c r="F76" s="2"/>
      <c r="G76" s="2"/>
      <c r="H76" s="2"/>
      <c r="I76" s="2"/>
      <c r="J76" s="2"/>
      <c r="K76" s="2"/>
    </row>
    <row r="77" spans="1:30" ht="15" customHeight="1" thickBot="1">
      <c r="H77" s="347" t="s">
        <v>128</v>
      </c>
      <c r="I77" s="347" t="s">
        <v>128</v>
      </c>
      <c r="J77" s="347"/>
    </row>
    <row r="78" spans="1:30" ht="15" customHeight="1">
      <c r="A78" s="209"/>
      <c r="B78" s="210">
        <v>2014</v>
      </c>
      <c r="C78" s="210">
        <v>2015</v>
      </c>
      <c r="D78" s="210">
        <v>2016</v>
      </c>
      <c r="E78" s="210">
        <v>2017</v>
      </c>
      <c r="F78" s="210">
        <v>2018</v>
      </c>
      <c r="G78" s="210">
        <v>2019</v>
      </c>
      <c r="H78" s="210">
        <v>2020</v>
      </c>
      <c r="I78" s="216">
        <v>2021</v>
      </c>
      <c r="J78" s="217" t="s">
        <v>124</v>
      </c>
      <c r="K78" s="217" t="s">
        <v>125</v>
      </c>
    </row>
    <row r="79" spans="1:30">
      <c r="A79" s="200" t="s">
        <v>187</v>
      </c>
      <c r="B79" s="218">
        <f t="shared" ref="B79:I81" si="84">(B34+B49+B64)/B3</f>
        <v>0.23592297876668414</v>
      </c>
      <c r="C79" s="218">
        <f t="shared" si="84"/>
        <v>0.28546709578063378</v>
      </c>
      <c r="D79" s="218">
        <f t="shared" si="84"/>
        <v>0.25996125262086961</v>
      </c>
      <c r="E79" s="218">
        <f t="shared" si="84"/>
        <v>0.23786515455527613</v>
      </c>
      <c r="F79" s="218">
        <f t="shared" si="84"/>
        <v>0.29284416231926125</v>
      </c>
      <c r="G79" s="218">
        <f t="shared" si="84"/>
        <v>0.29183074420699978</v>
      </c>
      <c r="H79" s="218">
        <f t="shared" si="84"/>
        <v>0.25696597683307382</v>
      </c>
      <c r="I79" s="219">
        <f t="shared" si="84"/>
        <v>0.29872290631070186</v>
      </c>
      <c r="J79" s="220">
        <f>AVERAGE(B79:I79)</f>
        <v>0.26994753392418758</v>
      </c>
      <c r="K79" s="221">
        <v>2</v>
      </c>
    </row>
    <row r="80" spans="1:30">
      <c r="A80" s="200" t="s">
        <v>188</v>
      </c>
      <c r="B80" s="218">
        <f t="shared" si="84"/>
        <v>0.34153671061317453</v>
      </c>
      <c r="C80" s="218">
        <f t="shared" si="84"/>
        <v>0.32061527271132728</v>
      </c>
      <c r="D80" s="218">
        <f t="shared" si="84"/>
        <v>0.34230819571897614</v>
      </c>
      <c r="E80" s="218">
        <f t="shared" si="84"/>
        <v>0.2964990079756708</v>
      </c>
      <c r="F80" s="218">
        <f t="shared" si="84"/>
        <v>0.31323013256017512</v>
      </c>
      <c r="G80" s="218">
        <f t="shared" si="84"/>
        <v>0.36877273598374255</v>
      </c>
      <c r="H80" s="218">
        <f t="shared" si="84"/>
        <v>0.33654438235287648</v>
      </c>
      <c r="I80" s="219">
        <f t="shared" si="84"/>
        <v>0.44139168347907765</v>
      </c>
      <c r="J80" s="220">
        <f t="shared" ref="J80:J84" si="85">AVERAGE(B80:I80)</f>
        <v>0.3451122651743776</v>
      </c>
      <c r="K80" s="221">
        <v>2</v>
      </c>
    </row>
    <row r="81" spans="1:30">
      <c r="A81" s="200" t="s">
        <v>189</v>
      </c>
      <c r="B81" s="218">
        <f t="shared" si="84"/>
        <v>0.23004724018272693</v>
      </c>
      <c r="C81" s="218">
        <f t="shared" si="84"/>
        <v>0.20433362464346308</v>
      </c>
      <c r="D81" s="218">
        <f t="shared" si="84"/>
        <v>0.24510305514751099</v>
      </c>
      <c r="E81" s="218">
        <f t="shared" si="84"/>
        <v>0.2589752481883924</v>
      </c>
      <c r="F81" s="218">
        <f t="shared" si="84"/>
        <v>0.279280898326218</v>
      </c>
      <c r="G81" s="218">
        <f t="shared" si="84"/>
        <v>0.31886085923374813</v>
      </c>
      <c r="H81" s="218">
        <f t="shared" si="84"/>
        <v>0.3463595464231638</v>
      </c>
      <c r="I81" s="219">
        <f t="shared" si="84"/>
        <v>0.41837429820706462</v>
      </c>
      <c r="J81" s="220">
        <f t="shared" si="85"/>
        <v>0.28766684629403594</v>
      </c>
      <c r="K81" s="221">
        <v>2</v>
      </c>
    </row>
    <row r="82" spans="1:30">
      <c r="A82" s="200" t="s">
        <v>190</v>
      </c>
      <c r="B82" s="218"/>
      <c r="C82" s="218"/>
      <c r="D82" s="218">
        <f t="shared" ref="D82:I82" si="86">(D37+D52+D67)/D6</f>
        <v>0.26187991291420437</v>
      </c>
      <c r="E82" s="218">
        <f t="shared" si="86"/>
        <v>0.17048213387141856</v>
      </c>
      <c r="F82" s="218">
        <f t="shared" si="86"/>
        <v>0.20398333327838258</v>
      </c>
      <c r="G82" s="218">
        <f t="shared" si="86"/>
        <v>0.14055857174127603</v>
      </c>
      <c r="H82" s="218">
        <f t="shared" si="86"/>
        <v>0.25624505333344766</v>
      </c>
      <c r="I82" s="219">
        <f t="shared" si="86"/>
        <v>0.27697775479259057</v>
      </c>
      <c r="J82" s="220">
        <f t="shared" si="85"/>
        <v>0.21835445998855332</v>
      </c>
      <c r="K82" s="221">
        <v>3</v>
      </c>
    </row>
    <row r="83" spans="1:30">
      <c r="A83" s="200" t="s">
        <v>191</v>
      </c>
      <c r="B83" s="218"/>
      <c r="C83" s="218"/>
      <c r="D83" s="218"/>
      <c r="E83" s="218">
        <f>(E38+E53+E68)/E7</f>
        <v>0.25736061186307946</v>
      </c>
      <c r="F83" s="218">
        <f>(F38+F53+F68)/F7</f>
        <v>0.33269046349237374</v>
      </c>
      <c r="G83" s="218">
        <f>(G38+G53+G68)/G7</f>
        <v>0.2989756690086825</v>
      </c>
      <c r="H83" s="218">
        <f>(H38+H53+H68)/H7</f>
        <v>0.37704889691466292</v>
      </c>
      <c r="I83" s="219">
        <f>(I38+I53+I68)/I7</f>
        <v>0.37578075650183057</v>
      </c>
      <c r="J83" s="220">
        <f t="shared" si="85"/>
        <v>0.32837127955612588</v>
      </c>
      <c r="K83" s="221">
        <v>2</v>
      </c>
    </row>
    <row r="84" spans="1:30" ht="15" thickBot="1">
      <c r="A84" s="222" t="s">
        <v>192</v>
      </c>
      <c r="B84" s="223"/>
      <c r="C84" s="223"/>
      <c r="D84" s="223"/>
      <c r="E84" s="223"/>
      <c r="F84" s="306"/>
      <c r="G84" s="306"/>
      <c r="H84" s="223">
        <f>(H39+H54+H69)/H8</f>
        <v>0.21296180999311581</v>
      </c>
      <c r="I84" s="224">
        <f>(I39+I54+I69)/I8</f>
        <v>0.30812006738923475</v>
      </c>
      <c r="J84" s="225">
        <f t="shared" si="85"/>
        <v>0.26054093869117528</v>
      </c>
      <c r="K84" s="226">
        <v>2</v>
      </c>
    </row>
    <row r="85" spans="1:30" ht="26.4">
      <c r="A85" s="229" t="s">
        <v>169</v>
      </c>
      <c r="B85" s="230">
        <f t="shared" ref="B85:I85" si="87">(B42+B57+B72)/B9</f>
        <v>0.25879179365734967</v>
      </c>
      <c r="C85" s="230">
        <f t="shared" si="87"/>
        <v>0.24887397032972697</v>
      </c>
      <c r="D85" s="230">
        <f t="shared" si="87"/>
        <v>0.23138501337861445</v>
      </c>
      <c r="E85" s="230">
        <f t="shared" si="87"/>
        <v>0.22362366031057371</v>
      </c>
      <c r="F85" s="230">
        <f t="shared" si="87"/>
        <v>0.20215046422099567</v>
      </c>
      <c r="G85" s="230">
        <f t="shared" si="87"/>
        <v>0.21190697307327561</v>
      </c>
      <c r="H85" s="230">
        <f t="shared" si="87"/>
        <v>0.23136849787225849</v>
      </c>
      <c r="I85" s="231">
        <f t="shared" si="87"/>
        <v>0.28708416236038031</v>
      </c>
      <c r="J85" s="232">
        <f>AVERAGE(B85:I85)</f>
        <v>0.23689806690039689</v>
      </c>
      <c r="K85" s="233"/>
    </row>
    <row r="87" spans="1:30" s="2" customFormat="1" ht="13.8">
      <c r="A87" s="180"/>
      <c r="B87" s="180"/>
      <c r="C87" s="180"/>
      <c r="D87" s="180"/>
      <c r="E87" s="180"/>
      <c r="F87" s="180"/>
      <c r="G87" s="180"/>
      <c r="H87" s="181"/>
      <c r="I87" s="181"/>
      <c r="J87" s="179"/>
      <c r="K87" s="179"/>
      <c r="L87" s="179"/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</row>
    <row r="88" spans="1:30" s="16" customFormat="1" ht="13.8">
      <c r="A88" s="318" t="s">
        <v>235</v>
      </c>
      <c r="B88" s="318"/>
      <c r="C88" s="307"/>
      <c r="D88" s="307"/>
      <c r="E88" s="2"/>
      <c r="F88" s="2"/>
      <c r="G88" s="2"/>
      <c r="H88" s="2"/>
      <c r="I88" s="2"/>
    </row>
    <row r="89" spans="1:30" s="16" customFormat="1" thickBot="1">
      <c r="A89" s="208"/>
      <c r="B89" s="208"/>
      <c r="C89" s="208"/>
      <c r="D89" s="208"/>
      <c r="E89" s="208"/>
      <c r="F89" s="208"/>
      <c r="G89" s="349" t="s">
        <v>127</v>
      </c>
      <c r="H89" s="349"/>
      <c r="I89" s="349"/>
      <c r="K89" s="208"/>
      <c r="L89" s="208"/>
      <c r="M89" s="208"/>
      <c r="N89" s="208"/>
      <c r="O89" s="208"/>
      <c r="P89" s="208"/>
      <c r="Q89" s="349" t="s">
        <v>238</v>
      </c>
      <c r="R89" s="349"/>
      <c r="S89" s="349"/>
    </row>
    <row r="90" spans="1:30" s="16" customFormat="1" ht="13.8">
      <c r="A90" s="209"/>
      <c r="B90" s="210">
        <v>2014</v>
      </c>
      <c r="C90" s="210">
        <v>2015</v>
      </c>
      <c r="D90" s="210">
        <v>2016</v>
      </c>
      <c r="E90" s="210">
        <v>2017</v>
      </c>
      <c r="F90" s="210">
        <v>2018</v>
      </c>
      <c r="G90" s="210">
        <v>2019</v>
      </c>
      <c r="H90" s="210">
        <v>2020</v>
      </c>
      <c r="I90" s="211">
        <v>2021</v>
      </c>
      <c r="K90" s="209"/>
      <c r="L90" s="210">
        <v>2014</v>
      </c>
      <c r="M90" s="210">
        <v>2015</v>
      </c>
      <c r="N90" s="210">
        <v>2016</v>
      </c>
      <c r="O90" s="210">
        <v>2017</v>
      </c>
      <c r="P90" s="210">
        <v>2018</v>
      </c>
      <c r="Q90" s="210">
        <v>2019</v>
      </c>
      <c r="R90" s="210">
        <v>2020</v>
      </c>
      <c r="S90" s="211">
        <v>2021</v>
      </c>
    </row>
    <row r="91" spans="1:30" s="16" customFormat="1" ht="13.8">
      <c r="A91" s="200" t="s">
        <v>187</v>
      </c>
      <c r="B91" s="212">
        <v>16643218</v>
      </c>
      <c r="C91" s="212">
        <v>20346178</v>
      </c>
      <c r="D91" s="212">
        <v>23155134</v>
      </c>
      <c r="E91" s="212">
        <v>25309840</v>
      </c>
      <c r="F91" s="212">
        <v>28623473</v>
      </c>
      <c r="G91" s="212">
        <v>39769408</v>
      </c>
      <c r="H91" s="212">
        <v>51613124</v>
      </c>
      <c r="I91" s="213">
        <v>91236649</v>
      </c>
      <c r="K91" s="200" t="s">
        <v>187</v>
      </c>
      <c r="L91" s="212">
        <f>B91/1000</f>
        <v>16643.218000000001</v>
      </c>
      <c r="M91" s="212">
        <f t="shared" ref="M91:S96" si="88">C91/1000</f>
        <v>20346.178</v>
      </c>
      <c r="N91" s="212">
        <f t="shared" si="88"/>
        <v>23155.133999999998</v>
      </c>
      <c r="O91" s="212">
        <f t="shared" si="88"/>
        <v>25309.84</v>
      </c>
      <c r="P91" s="212">
        <f t="shared" si="88"/>
        <v>28623.473000000002</v>
      </c>
      <c r="Q91" s="212">
        <f t="shared" si="88"/>
        <v>39769.408000000003</v>
      </c>
      <c r="R91" s="212">
        <f t="shared" si="88"/>
        <v>51613.124000000003</v>
      </c>
      <c r="S91" s="212">
        <f t="shared" si="88"/>
        <v>91236.649000000005</v>
      </c>
    </row>
    <row r="92" spans="1:30" s="16" customFormat="1" ht="13.8">
      <c r="A92" s="200" t="s">
        <v>188</v>
      </c>
      <c r="B92" s="212">
        <v>22144614</v>
      </c>
      <c r="C92" s="212">
        <v>28122666</v>
      </c>
      <c r="D92" s="212">
        <v>31901763</v>
      </c>
      <c r="E92" s="212">
        <v>39857400</v>
      </c>
      <c r="F92" s="212">
        <v>53986278</v>
      </c>
      <c r="G92" s="212">
        <v>85494387</v>
      </c>
      <c r="H92" s="212">
        <v>122172984</v>
      </c>
      <c r="I92" s="213">
        <v>212105389</v>
      </c>
      <c r="K92" s="200" t="s">
        <v>188</v>
      </c>
      <c r="L92" s="212">
        <f t="shared" ref="L92:L93" si="89">B92/1000</f>
        <v>22144.614000000001</v>
      </c>
      <c r="M92" s="212">
        <f t="shared" si="88"/>
        <v>28122.666000000001</v>
      </c>
      <c r="N92" s="212">
        <f t="shared" si="88"/>
        <v>31901.762999999999</v>
      </c>
      <c r="O92" s="212">
        <f t="shared" si="88"/>
        <v>39857.4</v>
      </c>
      <c r="P92" s="212">
        <f t="shared" si="88"/>
        <v>53986.277999999998</v>
      </c>
      <c r="Q92" s="212">
        <f t="shared" si="88"/>
        <v>85494.387000000002</v>
      </c>
      <c r="R92" s="212">
        <f t="shared" si="88"/>
        <v>122172.984</v>
      </c>
      <c r="S92" s="212">
        <f t="shared" si="88"/>
        <v>212105.389</v>
      </c>
    </row>
    <row r="93" spans="1:30" s="16" customFormat="1" ht="13.8">
      <c r="A93" s="200" t="s">
        <v>189</v>
      </c>
      <c r="B93" s="212">
        <v>19112760</v>
      </c>
      <c r="C93" s="212">
        <v>22177414</v>
      </c>
      <c r="D93" s="212">
        <v>21064781</v>
      </c>
      <c r="E93" s="212">
        <v>22030496</v>
      </c>
      <c r="F93" s="212">
        <v>26862479</v>
      </c>
      <c r="G93" s="212">
        <v>39974514</v>
      </c>
      <c r="H93" s="212">
        <v>57390586</v>
      </c>
      <c r="I93" s="213">
        <v>84477543</v>
      </c>
      <c r="K93" s="200" t="s">
        <v>189</v>
      </c>
      <c r="L93" s="212">
        <f t="shared" si="89"/>
        <v>19112.759999999998</v>
      </c>
      <c r="M93" s="212">
        <f t="shared" si="88"/>
        <v>22177.414000000001</v>
      </c>
      <c r="N93" s="212">
        <f t="shared" si="88"/>
        <v>21064.780999999999</v>
      </c>
      <c r="O93" s="212">
        <f t="shared" si="88"/>
        <v>22030.495999999999</v>
      </c>
      <c r="P93" s="212">
        <f t="shared" si="88"/>
        <v>26862.478999999999</v>
      </c>
      <c r="Q93" s="212">
        <f t="shared" si="88"/>
        <v>39974.514000000003</v>
      </c>
      <c r="R93" s="212">
        <f t="shared" si="88"/>
        <v>57390.586000000003</v>
      </c>
      <c r="S93" s="212">
        <f t="shared" si="88"/>
        <v>84477.543000000005</v>
      </c>
    </row>
    <row r="94" spans="1:30" s="16" customFormat="1" ht="13.8">
      <c r="A94" s="200" t="s">
        <v>190</v>
      </c>
      <c r="B94" s="212"/>
      <c r="C94" s="212"/>
      <c r="D94" s="212">
        <v>5636002</v>
      </c>
      <c r="E94" s="212">
        <v>10024595</v>
      </c>
      <c r="F94" s="212">
        <v>15151098</v>
      </c>
      <c r="G94" s="212">
        <v>25457245</v>
      </c>
      <c r="H94" s="212">
        <v>46386150</v>
      </c>
      <c r="I94" s="213">
        <v>77933897</v>
      </c>
      <c r="K94" s="200" t="s">
        <v>190</v>
      </c>
      <c r="L94" s="212"/>
      <c r="M94" s="212"/>
      <c r="N94" s="212">
        <f t="shared" si="88"/>
        <v>5636.0020000000004</v>
      </c>
      <c r="O94" s="212">
        <f t="shared" si="88"/>
        <v>10024.594999999999</v>
      </c>
      <c r="P94" s="212">
        <f t="shared" si="88"/>
        <v>15151.098</v>
      </c>
      <c r="Q94" s="212">
        <f t="shared" si="88"/>
        <v>25457.244999999999</v>
      </c>
      <c r="R94" s="212">
        <f t="shared" si="88"/>
        <v>46386.15</v>
      </c>
      <c r="S94" s="212">
        <f t="shared" si="88"/>
        <v>77933.896999999997</v>
      </c>
    </row>
    <row r="95" spans="1:30" s="16" customFormat="1" ht="13.8">
      <c r="A95" s="200" t="s">
        <v>191</v>
      </c>
      <c r="B95" s="212"/>
      <c r="C95" s="212"/>
      <c r="D95" s="212"/>
      <c r="E95" s="212">
        <v>10088414</v>
      </c>
      <c r="F95" s="212">
        <v>15182406</v>
      </c>
      <c r="G95" s="212">
        <v>22953215</v>
      </c>
      <c r="H95" s="212">
        <v>39566471</v>
      </c>
      <c r="I95" s="213">
        <v>73625445</v>
      </c>
      <c r="K95" s="200" t="s">
        <v>191</v>
      </c>
      <c r="L95" s="212"/>
      <c r="M95" s="212"/>
      <c r="N95" s="212"/>
      <c r="O95" s="212">
        <f t="shared" si="88"/>
        <v>10088.414000000001</v>
      </c>
      <c r="P95" s="212">
        <f t="shared" si="88"/>
        <v>15182.406000000001</v>
      </c>
      <c r="Q95" s="212">
        <f t="shared" si="88"/>
        <v>22953.215</v>
      </c>
      <c r="R95" s="212">
        <f t="shared" si="88"/>
        <v>39566.470999999998</v>
      </c>
      <c r="S95" s="212">
        <f t="shared" si="88"/>
        <v>73625.445000000007</v>
      </c>
    </row>
    <row r="96" spans="1:30" s="16" customFormat="1" ht="13.8">
      <c r="A96" s="200" t="s">
        <v>192</v>
      </c>
      <c r="B96" s="212"/>
      <c r="C96" s="212"/>
      <c r="D96" s="212"/>
      <c r="E96" s="212"/>
      <c r="F96" s="303"/>
      <c r="G96" s="212"/>
      <c r="H96" s="212">
        <v>11677400</v>
      </c>
      <c r="I96" s="213">
        <v>26793349</v>
      </c>
      <c r="K96" s="200" t="s">
        <v>192</v>
      </c>
      <c r="L96" s="212"/>
      <c r="M96" s="212"/>
      <c r="N96" s="212"/>
      <c r="O96" s="212"/>
      <c r="P96" s="212"/>
      <c r="Q96" s="212"/>
      <c r="R96" s="212">
        <f t="shared" si="88"/>
        <v>11677.4</v>
      </c>
      <c r="S96" s="212">
        <f t="shared" si="88"/>
        <v>26793.348999999998</v>
      </c>
    </row>
    <row r="97" spans="1:30" s="16" customFormat="1" ht="13.8">
      <c r="A97" s="201" t="s">
        <v>0</v>
      </c>
      <c r="B97" s="203">
        <f>SUM(B91:B96)</f>
        <v>57900592</v>
      </c>
      <c r="C97" s="203">
        <f t="shared" ref="C97" si="90">SUM(C91:C96)</f>
        <v>70646258</v>
      </c>
      <c r="D97" s="203">
        <f t="shared" ref="D97" si="91">SUM(D91:D96)</f>
        <v>81757680</v>
      </c>
      <c r="E97" s="203">
        <f t="shared" ref="E97" si="92">SUM(E91:E96)</f>
        <v>107310745</v>
      </c>
      <c r="F97" s="203">
        <f t="shared" ref="F97" si="93">SUM(F91:F96)</f>
        <v>139805734</v>
      </c>
      <c r="G97" s="203">
        <f t="shared" ref="G97" si="94">SUM(G91:G96)</f>
        <v>213648769</v>
      </c>
      <c r="H97" s="203">
        <f t="shared" ref="H97" si="95">SUM(H91:H96)</f>
        <v>328806715</v>
      </c>
      <c r="I97" s="204">
        <f t="shared" ref="I97" si="96">SUM(I91:I96)</f>
        <v>566172272</v>
      </c>
      <c r="K97" s="201" t="s">
        <v>0</v>
      </c>
      <c r="L97" s="203">
        <f>SUM(L91:L96)</f>
        <v>57900.592000000004</v>
      </c>
      <c r="M97" s="203">
        <f t="shared" ref="M97:S97" si="97">SUM(M91:M96)</f>
        <v>70646.258000000002</v>
      </c>
      <c r="N97" s="203">
        <f t="shared" si="97"/>
        <v>81757.679999999993</v>
      </c>
      <c r="O97" s="203">
        <f t="shared" si="97"/>
        <v>107310.74500000001</v>
      </c>
      <c r="P97" s="203">
        <f t="shared" si="97"/>
        <v>139805.734</v>
      </c>
      <c r="Q97" s="203">
        <f t="shared" si="97"/>
        <v>213648.769</v>
      </c>
      <c r="R97" s="203">
        <f t="shared" si="97"/>
        <v>328806.71500000008</v>
      </c>
      <c r="S97" s="204">
        <f t="shared" si="97"/>
        <v>566172.272</v>
      </c>
    </row>
    <row r="98" spans="1:30" s="16" customFormat="1" thickBot="1">
      <c r="A98" s="202" t="s">
        <v>129</v>
      </c>
      <c r="B98" s="205"/>
      <c r="C98" s="206">
        <f>(C97/B97)-1</f>
        <v>0.22013014996461511</v>
      </c>
      <c r="D98" s="206">
        <f t="shared" ref="D98:I98" si="98">(D97/C97)-1</f>
        <v>0.15728252726421821</v>
      </c>
      <c r="E98" s="206">
        <f t="shared" si="98"/>
        <v>0.3125463565013098</v>
      </c>
      <c r="F98" s="206">
        <f t="shared" si="98"/>
        <v>0.30281207161500934</v>
      </c>
      <c r="G98" s="206">
        <f t="shared" si="98"/>
        <v>0.52818316450454028</v>
      </c>
      <c r="H98" s="206">
        <f t="shared" si="98"/>
        <v>0.53900589523172027</v>
      </c>
      <c r="I98" s="207">
        <f t="shared" si="98"/>
        <v>0.72189996788842947</v>
      </c>
      <c r="K98" s="202" t="s">
        <v>129</v>
      </c>
      <c r="L98" s="205"/>
      <c r="M98" s="206">
        <f>(M97/L97)-1</f>
        <v>0.22013014996461511</v>
      </c>
      <c r="N98" s="206">
        <f t="shared" ref="N98" si="99">(N97/M97)-1</f>
        <v>0.15728252726421821</v>
      </c>
      <c r="O98" s="206">
        <f t="shared" ref="O98" si="100">(O97/N97)-1</f>
        <v>0.31254635650131002</v>
      </c>
      <c r="P98" s="206">
        <f t="shared" ref="P98" si="101">(P97/O97)-1</f>
        <v>0.30281207161500912</v>
      </c>
      <c r="Q98" s="206">
        <f t="shared" ref="Q98" si="102">(Q97/P97)-1</f>
        <v>0.52818316450454028</v>
      </c>
      <c r="R98" s="206">
        <f t="shared" ref="R98" si="103">(R97/Q97)-1</f>
        <v>0.53900589523172071</v>
      </c>
      <c r="S98" s="207">
        <f t="shared" ref="S98" si="104">(S97/R97)-1</f>
        <v>0.72189996788842903</v>
      </c>
    </row>
    <row r="99" spans="1:30" s="16" customFormat="1" ht="27" thickBot="1">
      <c r="A99" s="249" t="s">
        <v>169</v>
      </c>
      <c r="B99" s="214">
        <v>1057637524</v>
      </c>
      <c r="C99" s="214">
        <v>1250697536</v>
      </c>
      <c r="D99" s="214">
        <v>1462843620</v>
      </c>
      <c r="E99" s="214">
        <v>1713185374.8874102</v>
      </c>
      <c r="F99" s="214">
        <v>2036664907</v>
      </c>
      <c r="G99" s="214">
        <v>2474956495</v>
      </c>
      <c r="H99" s="214">
        <v>3308202543</v>
      </c>
      <c r="I99" s="215">
        <v>5011889087</v>
      </c>
      <c r="K99" s="249" t="s">
        <v>169</v>
      </c>
      <c r="L99" s="214">
        <f>B99/1000</f>
        <v>1057637.524</v>
      </c>
      <c r="M99" s="214">
        <f t="shared" ref="M99" si="105">C99/1000</f>
        <v>1250697.5360000001</v>
      </c>
      <c r="N99" s="214">
        <f t="shared" ref="N99" si="106">D99/1000</f>
        <v>1462843.62</v>
      </c>
      <c r="O99" s="214">
        <f t="shared" ref="O99" si="107">E99/1000</f>
        <v>1713185.3748874101</v>
      </c>
      <c r="P99" s="214">
        <f t="shared" ref="P99" si="108">F99/1000</f>
        <v>2036664.9069999999</v>
      </c>
      <c r="Q99" s="214">
        <f t="shared" ref="Q99" si="109">G99/1000</f>
        <v>2474956.4950000001</v>
      </c>
      <c r="R99" s="214">
        <f t="shared" ref="R99" si="110">H99/1000</f>
        <v>3308202.5430000001</v>
      </c>
      <c r="S99" s="215">
        <f t="shared" ref="S99" si="111">I99/1000</f>
        <v>5011889.0870000003</v>
      </c>
    </row>
    <row r="100" spans="1:30" s="16" customFormat="1" thickBot="1">
      <c r="A100" s="202" t="s">
        <v>129</v>
      </c>
      <c r="B100" s="205"/>
      <c r="C100" s="206">
        <f>(C99/B99)-1</f>
        <v>0.18253892058391075</v>
      </c>
      <c r="D100" s="206">
        <f t="shared" ref="D100" si="112">(D99/C99)-1</f>
        <v>0.1696222131199594</v>
      </c>
      <c r="E100" s="206">
        <f t="shared" ref="E100" si="113">(E99/D99)-1</f>
        <v>0.17113364098850847</v>
      </c>
      <c r="F100" s="206">
        <f t="shared" ref="F100" si="114">(F99/E99)-1</f>
        <v>0.18881758906787827</v>
      </c>
      <c r="G100" s="206">
        <f t="shared" ref="G100" si="115">(G99/F99)-1</f>
        <v>0.2152006383051015</v>
      </c>
      <c r="H100" s="207">
        <f t="shared" ref="H100" si="116">(H99/G99)-1</f>
        <v>0.33667098782679816</v>
      </c>
      <c r="I100" s="207">
        <f t="shared" ref="I100" si="117">(I99/H99)-1</f>
        <v>0.51498858424038163</v>
      </c>
      <c r="K100" s="202" t="s">
        <v>129</v>
      </c>
      <c r="L100" s="205"/>
      <c r="M100" s="206">
        <f>(M99/L99)-1</f>
        <v>0.18253892058391075</v>
      </c>
      <c r="N100" s="206">
        <f t="shared" ref="N100" si="118">(N99/M99)-1</f>
        <v>0.1696222131199594</v>
      </c>
      <c r="O100" s="206">
        <f t="shared" ref="O100" si="119">(O99/N99)-1</f>
        <v>0.17113364098850847</v>
      </c>
      <c r="P100" s="206">
        <f t="shared" ref="P100" si="120">(P99/O99)-1</f>
        <v>0.18881758906787827</v>
      </c>
      <c r="Q100" s="206">
        <f t="shared" ref="Q100" si="121">(Q99/P99)-1</f>
        <v>0.2152006383051015</v>
      </c>
      <c r="R100" s="207">
        <f t="shared" ref="R100" si="122">(R99/Q99)-1</f>
        <v>0.33667098782679816</v>
      </c>
      <c r="S100" s="207">
        <f t="shared" ref="S100" si="123">(S99/R99)-1</f>
        <v>0.51498858424038163</v>
      </c>
    </row>
    <row r="101" spans="1:30" s="16" customFormat="1" ht="13.8">
      <c r="A101" s="176"/>
      <c r="B101" s="176"/>
      <c r="C101" s="176"/>
      <c r="D101" s="176"/>
      <c r="E101" s="176"/>
      <c r="F101" s="176"/>
      <c r="G101" s="176"/>
      <c r="H101" s="175"/>
      <c r="I101" s="175"/>
    </row>
    <row r="102" spans="1:30" s="2" customFormat="1" ht="13.8">
      <c r="A102" s="180"/>
      <c r="B102" s="180"/>
      <c r="C102" s="180"/>
      <c r="D102" s="180"/>
      <c r="E102" s="180"/>
      <c r="F102" s="180"/>
      <c r="G102" s="180"/>
      <c r="H102" s="181"/>
      <c r="I102" s="181"/>
      <c r="J102" s="179"/>
      <c r="K102" s="179"/>
      <c r="L102" s="179"/>
      <c r="M102" s="179"/>
      <c r="N102" s="179"/>
      <c r="O102" s="179"/>
      <c r="P102" s="179"/>
      <c r="Q102" s="179"/>
      <c r="R102" s="179"/>
      <c r="S102" s="179"/>
      <c r="T102" s="179"/>
      <c r="U102" s="179"/>
      <c r="V102" s="179"/>
      <c r="W102" s="179"/>
      <c r="X102" s="179"/>
      <c r="Y102" s="179"/>
      <c r="Z102" s="179"/>
      <c r="AA102" s="179"/>
      <c r="AB102" s="179"/>
      <c r="AC102" s="179"/>
      <c r="AD102" s="179"/>
    </row>
    <row r="103" spans="1:30" s="16" customFormat="1" ht="13.8">
      <c r="A103" s="318" t="s">
        <v>234</v>
      </c>
      <c r="B103" s="318"/>
      <c r="C103" s="318"/>
      <c r="D103" s="323"/>
      <c r="F103" s="2"/>
      <c r="G103" s="2"/>
      <c r="H103" s="2"/>
      <c r="I103" s="2"/>
      <c r="J103" s="2"/>
      <c r="K103" s="2"/>
    </row>
    <row r="104" spans="1:30" s="16" customFormat="1" ht="14.4" customHeight="1" thickBot="1">
      <c r="A104"/>
      <c r="B104"/>
      <c r="C104"/>
      <c r="D104"/>
      <c r="E104"/>
      <c r="F104"/>
      <c r="G104"/>
      <c r="H104" s="347" t="s">
        <v>128</v>
      </c>
      <c r="I104" s="347" t="s">
        <v>128</v>
      </c>
      <c r="J104" s="347"/>
      <c r="K104"/>
    </row>
    <row r="105" spans="1:30" s="16" customFormat="1" ht="14.4" customHeight="1">
      <c r="A105" s="209"/>
      <c r="B105" s="210">
        <v>2014</v>
      </c>
      <c r="C105" s="210">
        <v>2015</v>
      </c>
      <c r="D105" s="210">
        <v>2016</v>
      </c>
      <c r="E105" s="210">
        <v>2017</v>
      </c>
      <c r="F105" s="210">
        <v>2018</v>
      </c>
      <c r="G105" s="210">
        <v>2019</v>
      </c>
      <c r="H105" s="210">
        <v>2020</v>
      </c>
      <c r="I105" s="216">
        <v>2021</v>
      </c>
      <c r="J105" s="217" t="s">
        <v>124</v>
      </c>
      <c r="K105" s="217" t="s">
        <v>125</v>
      </c>
    </row>
    <row r="106" spans="1:30" s="16" customFormat="1">
      <c r="A106" s="200" t="s">
        <v>187</v>
      </c>
      <c r="B106" s="218">
        <f t="shared" ref="B106:I108" si="124">B13/B91</f>
        <v>0.92975084505893035</v>
      </c>
      <c r="C106" s="218">
        <f t="shared" si="124"/>
        <v>0.9121106185151826</v>
      </c>
      <c r="D106" s="218">
        <f t="shared" si="124"/>
        <v>0.94333615171477736</v>
      </c>
      <c r="E106" s="218">
        <f t="shared" si="124"/>
        <v>0.9662795971843362</v>
      </c>
      <c r="F106" s="218">
        <f t="shared" si="124"/>
        <v>0.94545571042339971</v>
      </c>
      <c r="G106" s="218">
        <f t="shared" si="124"/>
        <v>0.77037211617532753</v>
      </c>
      <c r="H106" s="218">
        <f t="shared" si="124"/>
        <v>0.81482775582427447</v>
      </c>
      <c r="I106" s="219">
        <f t="shared" si="124"/>
        <v>0.65001047988950145</v>
      </c>
      <c r="J106" s="220">
        <f>AVERAGE(B106:I106)</f>
        <v>0.86651790934821615</v>
      </c>
      <c r="K106" s="221">
        <v>1</v>
      </c>
    </row>
    <row r="107" spans="1:30" s="16" customFormat="1">
      <c r="A107" s="200" t="s">
        <v>188</v>
      </c>
      <c r="B107" s="218">
        <f t="shared" si="124"/>
        <v>0.92912353315347918</v>
      </c>
      <c r="C107" s="218">
        <f t="shared" si="124"/>
        <v>0.91922294991520359</v>
      </c>
      <c r="D107" s="218">
        <f t="shared" si="124"/>
        <v>0.88553419445815584</v>
      </c>
      <c r="E107" s="218">
        <f t="shared" si="124"/>
        <v>0.90307235293822474</v>
      </c>
      <c r="F107" s="218">
        <f t="shared" si="124"/>
        <v>0.83999743416280703</v>
      </c>
      <c r="G107" s="218">
        <f t="shared" si="124"/>
        <v>0.64587221380977911</v>
      </c>
      <c r="H107" s="218">
        <f t="shared" si="124"/>
        <v>0.60605094167135998</v>
      </c>
      <c r="I107" s="219">
        <f t="shared" si="124"/>
        <v>0.52540197835331759</v>
      </c>
      <c r="J107" s="220">
        <f t="shared" ref="J107:J111" si="125">AVERAGE(B107:I107)</f>
        <v>0.78178444980779094</v>
      </c>
      <c r="K107" s="221">
        <v>1</v>
      </c>
    </row>
    <row r="108" spans="1:30" s="16" customFormat="1">
      <c r="A108" s="200" t="s">
        <v>189</v>
      </c>
      <c r="B108" s="218">
        <f t="shared" si="124"/>
        <v>1.2063366044464536</v>
      </c>
      <c r="C108" s="218">
        <f t="shared" si="124"/>
        <v>1.2181092439361956</v>
      </c>
      <c r="D108" s="218">
        <f t="shared" si="124"/>
        <v>1.2152621002800836</v>
      </c>
      <c r="E108" s="218">
        <f t="shared" si="124"/>
        <v>1.1501247634188536</v>
      </c>
      <c r="F108" s="218">
        <f t="shared" si="124"/>
        <v>1.1347257265422153</v>
      </c>
      <c r="G108" s="218">
        <f t="shared" si="124"/>
        <v>0.81507349907993876</v>
      </c>
      <c r="H108" s="218">
        <f t="shared" si="124"/>
        <v>0.81951189695118287</v>
      </c>
      <c r="I108" s="219">
        <f t="shared" si="124"/>
        <v>0.71247120669690878</v>
      </c>
      <c r="J108" s="220">
        <f t="shared" si="125"/>
        <v>1.0339518801689791</v>
      </c>
      <c r="K108" s="221">
        <v>3</v>
      </c>
    </row>
    <row r="109" spans="1:30" s="16" customFormat="1">
      <c r="A109" s="200" t="s">
        <v>190</v>
      </c>
      <c r="B109" s="218"/>
      <c r="C109" s="218"/>
      <c r="D109" s="218">
        <f t="shared" ref="D109:I109" si="126">D16/D94</f>
        <v>0.98614975651179682</v>
      </c>
      <c r="E109" s="218">
        <f t="shared" si="126"/>
        <v>1.1346836455737115</v>
      </c>
      <c r="F109" s="218">
        <f t="shared" si="126"/>
        <v>1.1381346751238754</v>
      </c>
      <c r="G109" s="218">
        <f t="shared" si="126"/>
        <v>1.0177324372688403</v>
      </c>
      <c r="H109" s="218">
        <f t="shared" si="126"/>
        <v>0.82402650360075147</v>
      </c>
      <c r="I109" s="219">
        <f t="shared" si="126"/>
        <v>0.75177238987548645</v>
      </c>
      <c r="J109" s="220">
        <f t="shared" si="125"/>
        <v>0.97541656799241017</v>
      </c>
      <c r="K109" s="221">
        <v>2</v>
      </c>
    </row>
    <row r="110" spans="1:30" s="16" customFormat="1">
      <c r="A110" s="200" t="s">
        <v>191</v>
      </c>
      <c r="B110" s="218"/>
      <c r="C110" s="218"/>
      <c r="D110" s="218"/>
      <c r="E110" s="218">
        <f>E17/E95</f>
        <v>0.95014994428261967</v>
      </c>
      <c r="F110" s="218">
        <f>F17/F95</f>
        <v>0.89361514900866179</v>
      </c>
      <c r="G110" s="218">
        <f>G17/G95</f>
        <v>0.80985365230970907</v>
      </c>
      <c r="H110" s="218">
        <f>H17/H95</f>
        <v>0.73566346111585235</v>
      </c>
      <c r="I110" s="219">
        <f>I17/I95</f>
        <v>0.76178903910190288</v>
      </c>
      <c r="J110" s="220">
        <f t="shared" si="125"/>
        <v>0.8302142491637492</v>
      </c>
      <c r="K110" s="221">
        <v>1</v>
      </c>
    </row>
    <row r="111" spans="1:30" ht="15" thickBot="1">
      <c r="A111" s="222" t="s">
        <v>192</v>
      </c>
      <c r="B111" s="223"/>
      <c r="C111" s="223"/>
      <c r="D111" s="223"/>
      <c r="E111" s="223"/>
      <c r="F111" s="306"/>
      <c r="G111" s="223"/>
      <c r="H111" s="223">
        <f>H18/H96</f>
        <v>1.1621271858461644</v>
      </c>
      <c r="I111" s="224">
        <f>I18/I96</f>
        <v>0.81081614694751303</v>
      </c>
      <c r="J111" s="225">
        <f t="shared" si="125"/>
        <v>0.9864716663968387</v>
      </c>
      <c r="K111" s="226">
        <v>2</v>
      </c>
    </row>
    <row r="112" spans="1:30" ht="26.4">
      <c r="A112" s="229" t="s">
        <v>237</v>
      </c>
      <c r="B112" s="254">
        <v>1</v>
      </c>
      <c r="C112" s="254">
        <v>1</v>
      </c>
      <c r="D112" s="254">
        <v>1</v>
      </c>
      <c r="E112" s="254">
        <v>1</v>
      </c>
      <c r="F112" s="254">
        <v>1</v>
      </c>
      <c r="G112" s="254">
        <v>1</v>
      </c>
      <c r="H112" s="254">
        <v>1</v>
      </c>
      <c r="I112" s="254">
        <v>1</v>
      </c>
      <c r="J112" s="233"/>
      <c r="K112" s="233"/>
    </row>
    <row r="113" spans="1:30">
      <c r="A113" s="72"/>
      <c r="B113" s="73"/>
      <c r="C113" s="73"/>
      <c r="D113" s="73"/>
      <c r="E113" s="73"/>
      <c r="F113" s="73"/>
      <c r="G113" s="73"/>
      <c r="H113" s="73"/>
      <c r="I113" s="73"/>
      <c r="J113" s="74"/>
      <c r="K113" s="7"/>
      <c r="L113" s="1"/>
    </row>
    <row r="114" spans="1:30" s="2" customFormat="1" ht="13.8">
      <c r="A114" s="180"/>
      <c r="B114" s="180"/>
      <c r="C114" s="180"/>
      <c r="D114" s="180"/>
      <c r="E114" s="180"/>
      <c r="F114" s="180"/>
      <c r="G114" s="180"/>
      <c r="H114" s="181"/>
      <c r="I114" s="181"/>
      <c r="J114" s="179"/>
      <c r="K114" s="186"/>
      <c r="L114" s="186"/>
      <c r="M114" s="179"/>
      <c r="N114" s="179"/>
      <c r="O114" s="179"/>
      <c r="P114" s="179"/>
      <c r="Q114" s="179"/>
      <c r="R114" s="179"/>
      <c r="S114" s="179"/>
      <c r="T114" s="179"/>
      <c r="U114" s="179"/>
      <c r="V114" s="179"/>
      <c r="W114" s="179"/>
      <c r="X114" s="179"/>
      <c r="Y114" s="179"/>
      <c r="Z114" s="179"/>
      <c r="AA114" s="179"/>
      <c r="AB114" s="179"/>
      <c r="AC114" s="179"/>
      <c r="AD114" s="179"/>
    </row>
    <row r="115" spans="1:30">
      <c r="A115" s="318" t="s">
        <v>233</v>
      </c>
      <c r="B115" s="318"/>
      <c r="C115" s="318"/>
      <c r="D115" s="323"/>
      <c r="E115" s="2"/>
      <c r="F115" s="2"/>
      <c r="G115" s="2"/>
      <c r="H115" s="2"/>
      <c r="I115" s="2"/>
      <c r="J115" s="2"/>
      <c r="K115" s="2"/>
      <c r="L115" s="1"/>
    </row>
    <row r="116" spans="1:30" ht="15" customHeight="1" thickBot="1">
      <c r="H116" s="347" t="s">
        <v>128</v>
      </c>
      <c r="I116" s="347" t="s">
        <v>128</v>
      </c>
      <c r="J116" s="347"/>
    </row>
    <row r="117" spans="1:30" ht="15" customHeight="1">
      <c r="A117" s="209"/>
      <c r="B117" s="210">
        <v>2014</v>
      </c>
      <c r="C117" s="210">
        <v>2015</v>
      </c>
      <c r="D117" s="210">
        <v>2016</v>
      </c>
      <c r="E117" s="210">
        <v>2017</v>
      </c>
      <c r="F117" s="210">
        <v>2018</v>
      </c>
      <c r="G117" s="210">
        <v>2019</v>
      </c>
      <c r="H117" s="210">
        <v>2020</v>
      </c>
      <c r="I117" s="216">
        <v>2021</v>
      </c>
      <c r="J117" s="217" t="s">
        <v>124</v>
      </c>
      <c r="K117" s="217" t="s">
        <v>125</v>
      </c>
    </row>
    <row r="118" spans="1:30">
      <c r="A118" s="200" t="s">
        <v>187</v>
      </c>
      <c r="B118" s="218">
        <f t="shared" ref="B118:I120" si="127">B49/B3</f>
        <v>7.1518036811264077E-2</v>
      </c>
      <c r="C118" s="218">
        <f t="shared" si="127"/>
        <v>8.3979909477704812E-2</v>
      </c>
      <c r="D118" s="218">
        <f t="shared" si="127"/>
        <v>6.5696454064441412E-2</v>
      </c>
      <c r="E118" s="218">
        <f t="shared" si="127"/>
        <v>4.1718065298765407E-2</v>
      </c>
      <c r="F118" s="218">
        <f t="shared" si="127"/>
        <v>0.12355745542806197</v>
      </c>
      <c r="G118" s="218">
        <f t="shared" si="127"/>
        <v>8.1477701124805152E-2</v>
      </c>
      <c r="H118" s="218">
        <f t="shared" si="127"/>
        <v>4.9243405532986784E-2</v>
      </c>
      <c r="I118" s="219">
        <f t="shared" si="127"/>
        <v>4.8611041446853305E-2</v>
      </c>
      <c r="J118" s="220">
        <f>AVERAGE(B118:I118)</f>
        <v>7.072525864811037E-2</v>
      </c>
      <c r="K118" s="221">
        <v>1</v>
      </c>
    </row>
    <row r="119" spans="1:30">
      <c r="A119" s="200" t="s">
        <v>188</v>
      </c>
      <c r="B119" s="218">
        <f t="shared" si="127"/>
        <v>7.9524420512859351E-2</v>
      </c>
      <c r="C119" s="218">
        <f t="shared" si="127"/>
        <v>8.5214753070488758E-2</v>
      </c>
      <c r="D119" s="218">
        <f t="shared" si="127"/>
        <v>9.6913698477967519E-2</v>
      </c>
      <c r="E119" s="218">
        <f t="shared" si="127"/>
        <v>6.2602000119216225E-2</v>
      </c>
      <c r="F119" s="218">
        <f t="shared" si="127"/>
        <v>8.6480492157560734E-2</v>
      </c>
      <c r="G119" s="218">
        <f t="shared" si="127"/>
        <v>6.6936746874465755E-2</v>
      </c>
      <c r="H119" s="218">
        <f t="shared" si="127"/>
        <v>3.8147317509980856E-2</v>
      </c>
      <c r="I119" s="219">
        <f t="shared" si="127"/>
        <v>5.7161583269000227E-2</v>
      </c>
      <c r="J119" s="220">
        <f t="shared" ref="J119:J123" si="128">AVERAGE(B119:I119)</f>
        <v>7.1622626498942424E-2</v>
      </c>
      <c r="K119" s="221">
        <v>1</v>
      </c>
      <c r="U119" s="198"/>
      <c r="V119" s="198"/>
    </row>
    <row r="120" spans="1:30">
      <c r="A120" s="200" t="s">
        <v>189</v>
      </c>
      <c r="B120" s="218">
        <f t="shared" si="127"/>
        <v>1.709537513147567E-2</v>
      </c>
      <c r="C120" s="218">
        <f t="shared" si="127"/>
        <v>5.8421623080016048E-3</v>
      </c>
      <c r="D120" s="218">
        <f t="shared" si="127"/>
        <v>1.4475626072000061E-2</v>
      </c>
      <c r="E120" s="218">
        <f t="shared" si="127"/>
        <v>7.866656694190002E-3</v>
      </c>
      <c r="F120" s="218">
        <f t="shared" si="127"/>
        <v>3.0504234377934224E-2</v>
      </c>
      <c r="G120" s="218">
        <f t="shared" si="127"/>
        <v>6.8741923356503781E-2</v>
      </c>
      <c r="H120" s="218">
        <f t="shared" si="127"/>
        <v>8.7820816164300264E-2</v>
      </c>
      <c r="I120" s="219">
        <f t="shared" si="127"/>
        <v>6.0531412020084559E-2</v>
      </c>
      <c r="J120" s="220">
        <f t="shared" si="128"/>
        <v>3.6609775765561271E-2</v>
      </c>
      <c r="K120" s="221">
        <v>2</v>
      </c>
      <c r="U120" s="198"/>
      <c r="V120" s="198"/>
    </row>
    <row r="121" spans="1:30">
      <c r="A121" s="200" t="s">
        <v>190</v>
      </c>
      <c r="B121" s="218"/>
      <c r="C121" s="218"/>
      <c r="D121" s="218">
        <f t="shared" ref="D121:I121" si="129">D52/D6</f>
        <v>5.8854650168659942E-2</v>
      </c>
      <c r="E121" s="218">
        <f t="shared" si="129"/>
        <v>1.9413116649778333E-2</v>
      </c>
      <c r="F121" s="218">
        <f t="shared" si="129"/>
        <v>3.1506644567042198E-2</v>
      </c>
      <c r="G121" s="218">
        <f t="shared" si="129"/>
        <v>2.518173275386076E-2</v>
      </c>
      <c r="H121" s="218">
        <f t="shared" si="129"/>
        <v>7.9747591988143088E-2</v>
      </c>
      <c r="I121" s="219">
        <f t="shared" si="129"/>
        <v>3.40764080353003E-2</v>
      </c>
      <c r="J121" s="220">
        <f t="shared" si="128"/>
        <v>4.1463357360464102E-2</v>
      </c>
      <c r="K121" s="221">
        <v>1</v>
      </c>
      <c r="U121" s="263"/>
      <c r="V121" s="263"/>
    </row>
    <row r="122" spans="1:30">
      <c r="A122" s="200" t="s">
        <v>191</v>
      </c>
      <c r="B122" s="218"/>
      <c r="C122" s="218"/>
      <c r="D122" s="218"/>
      <c r="E122" s="218">
        <f>E53/E7</f>
        <v>3.8934773236781274E-2</v>
      </c>
      <c r="F122" s="218">
        <f>F53/F7</f>
        <v>6.6503839180832233E-2</v>
      </c>
      <c r="G122" s="218">
        <f>G53/G7</f>
        <v>6.4462681602004218E-2</v>
      </c>
      <c r="H122" s="218">
        <f>H53/H7</f>
        <v>1.2924353961015718E-2</v>
      </c>
      <c r="I122" s="219">
        <f>I53/I7</f>
        <v>2.3138690215792863E-2</v>
      </c>
      <c r="J122" s="220">
        <f t="shared" si="128"/>
        <v>4.1192867639285265E-2</v>
      </c>
      <c r="K122" s="221">
        <v>1</v>
      </c>
    </row>
    <row r="123" spans="1:30" ht="15" thickBot="1">
      <c r="A123" s="222" t="s">
        <v>192</v>
      </c>
      <c r="B123" s="223"/>
      <c r="C123" s="223"/>
      <c r="D123" s="223"/>
      <c r="E123" s="223"/>
      <c r="F123" s="306"/>
      <c r="G123" s="223"/>
      <c r="H123" s="223">
        <f>H54/H8</f>
        <v>4.4670627430061054E-2</v>
      </c>
      <c r="I123" s="224">
        <f>I54/I8</f>
        <v>3.9554152616492817E-2</v>
      </c>
      <c r="J123" s="225">
        <f t="shared" si="128"/>
        <v>4.2112390023276935E-2</v>
      </c>
      <c r="K123" s="226">
        <v>1</v>
      </c>
    </row>
    <row r="124" spans="1:30" ht="26.4">
      <c r="A124" s="229" t="s">
        <v>169</v>
      </c>
      <c r="B124" s="230">
        <f t="shared" ref="B124:I124" si="130">B57/B9</f>
        <v>2.5480166805669554E-2</v>
      </c>
      <c r="C124" s="230">
        <f t="shared" si="130"/>
        <v>2.7660650816800629E-2</v>
      </c>
      <c r="D124" s="230">
        <f t="shared" si="130"/>
        <v>2.5839030223856099E-2</v>
      </c>
      <c r="E124" s="230">
        <f t="shared" si="130"/>
        <v>2.6543993948871414E-2</v>
      </c>
      <c r="F124" s="230">
        <f t="shared" si="130"/>
        <v>3.008390410370794E-2</v>
      </c>
      <c r="G124" s="230">
        <f t="shared" si="130"/>
        <v>3.2596575916139764E-2</v>
      </c>
      <c r="H124" s="230">
        <f t="shared" si="130"/>
        <v>2.2897813087266818E-2</v>
      </c>
      <c r="I124" s="231">
        <f t="shared" si="130"/>
        <v>3.7672798880282861E-2</v>
      </c>
      <c r="J124" s="321">
        <f>AVERAGE(B124:I124)</f>
        <v>2.8596866722824382E-2</v>
      </c>
      <c r="K124" s="233"/>
    </row>
    <row r="125" spans="1:30">
      <c r="A125" s="178"/>
      <c r="B125" s="178"/>
      <c r="C125" s="178"/>
      <c r="D125" s="178"/>
      <c r="E125" s="178"/>
      <c r="F125" s="178"/>
    </row>
    <row r="126" spans="1:30" s="2" customFormat="1" ht="13.8">
      <c r="A126" s="180"/>
      <c r="B126" s="180"/>
      <c r="C126" s="180"/>
      <c r="D126" s="180"/>
      <c r="E126" s="180"/>
      <c r="F126" s="180"/>
      <c r="G126" s="180"/>
      <c r="H126" s="181"/>
      <c r="I126" s="181"/>
      <c r="J126" s="179"/>
      <c r="K126" s="179"/>
      <c r="L126" s="179"/>
      <c r="M126" s="179"/>
      <c r="N126" s="179"/>
      <c r="O126" s="179"/>
      <c r="P126" s="179"/>
      <c r="Q126" s="179"/>
      <c r="R126" s="179"/>
      <c r="S126" s="179"/>
      <c r="T126" s="179"/>
      <c r="U126" s="179"/>
      <c r="V126" s="179"/>
      <c r="W126" s="179"/>
      <c r="X126" s="179"/>
      <c r="Y126" s="179"/>
      <c r="Z126" s="179"/>
      <c r="AA126" s="179"/>
      <c r="AB126" s="179"/>
      <c r="AC126" s="179"/>
      <c r="AD126" s="179"/>
    </row>
  </sheetData>
  <mergeCells count="17">
    <mergeCell ref="A1:G1"/>
    <mergeCell ref="H1:I1"/>
    <mergeCell ref="A11:G11"/>
    <mergeCell ref="H11:I11"/>
    <mergeCell ref="A21:G21"/>
    <mergeCell ref="H21:I21"/>
    <mergeCell ref="H104:J104"/>
    <mergeCell ref="H116:J116"/>
    <mergeCell ref="G89:I89"/>
    <mergeCell ref="Q32:S32"/>
    <mergeCell ref="Q47:S47"/>
    <mergeCell ref="Q62:S62"/>
    <mergeCell ref="Q89:S89"/>
    <mergeCell ref="G62:I62"/>
    <mergeCell ref="H77:J77"/>
    <mergeCell ref="G32:I32"/>
    <mergeCell ref="G47:I47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3A39A-7B87-4348-89DF-E1DD38B588CF}">
  <dimension ref="B1:J9"/>
  <sheetViews>
    <sheetView zoomScale="70" zoomScaleNormal="70" workbookViewId="0">
      <selection activeCell="C14" sqref="C14"/>
    </sheetView>
  </sheetViews>
  <sheetFormatPr defaultRowHeight="14.4"/>
  <cols>
    <col min="1" max="1" width="14" bestFit="1" customWidth="1"/>
    <col min="2" max="2" width="9" bestFit="1" customWidth="1"/>
    <col min="3" max="6" width="8" customWidth="1"/>
    <col min="8" max="8" width="5.6640625" bestFit="1" customWidth="1"/>
    <col min="10" max="10" width="3.44140625" bestFit="1" customWidth="1"/>
    <col min="11" max="11" width="15.6640625" customWidth="1"/>
    <col min="12" max="16" width="16.33203125" customWidth="1"/>
    <col min="19" max="19" width="10.109375" customWidth="1"/>
    <col min="20" max="20" width="9.33203125" bestFit="1" customWidth="1"/>
    <col min="21" max="21" width="36.6640625" bestFit="1" customWidth="1"/>
  </cols>
  <sheetData>
    <row r="1" spans="2:10" ht="15" thickBot="1"/>
    <row r="2" spans="2:10" ht="15" thickBot="1">
      <c r="B2" s="264"/>
      <c r="C2" s="268" t="s">
        <v>180</v>
      </c>
      <c r="D2" s="269" t="s">
        <v>181</v>
      </c>
      <c r="E2" s="269" t="s">
        <v>182</v>
      </c>
      <c r="F2" s="269" t="s">
        <v>183</v>
      </c>
      <c r="G2" s="270" t="s">
        <v>184</v>
      </c>
      <c r="H2" s="271" t="s">
        <v>124</v>
      </c>
    </row>
    <row r="3" spans="2:10" ht="14.4" customHeight="1">
      <c r="B3" s="265" t="s">
        <v>187</v>
      </c>
      <c r="C3" s="309">
        <f>AVERAGE('CAMELS (C)'!L49,'CAMELS (C)'!L61,'CAMELS (C)'!L73)</f>
        <v>3</v>
      </c>
      <c r="D3" s="310">
        <f>AVERAGE('CAMELS (A)'!L44,'CAMELS (A)'!L56)</f>
        <v>3</v>
      </c>
      <c r="E3" s="310">
        <f>AVERAGE('CAMELS (M)'!K44,'CAMELS (M)'!K71,'CAMELS (M)'!K83)</f>
        <v>2.6666666666666665</v>
      </c>
      <c r="F3" s="310">
        <f>AVERAGE('CAMELS (E)'!K59,'CAMELS (E)'!K72,'CAMELS (E)'!K114)</f>
        <v>4.333333333333333</v>
      </c>
      <c r="G3" s="311">
        <f>AVERAGE('CAMELS (L)'!K79,'CAMELS (L)'!K106,'CAMELS (L)'!K118)</f>
        <v>1.3333333333333333</v>
      </c>
      <c r="H3" s="312">
        <f>AVERAGE(C3:G3)</f>
        <v>2.8666666666666667</v>
      </c>
      <c r="J3" s="338">
        <f t="shared" ref="J3:J8" si="0">RANK(H3,$H$3:$H$8,1)</f>
        <v>6</v>
      </c>
    </row>
    <row r="4" spans="2:10">
      <c r="B4" s="266" t="s">
        <v>188</v>
      </c>
      <c r="C4" s="313">
        <f>AVERAGE('CAMELS (C)'!L50,'CAMELS (C)'!L62,'CAMELS (C)'!L74)</f>
        <v>2</v>
      </c>
      <c r="D4" s="314">
        <f>AVERAGE('CAMELS (A)'!L45,'CAMELS (A)'!L57)</f>
        <v>1.5</v>
      </c>
      <c r="E4" s="314">
        <f>AVERAGE('CAMELS (M)'!K45,'CAMELS (M)'!K72,'CAMELS (M)'!K84)</f>
        <v>2.3333333333333335</v>
      </c>
      <c r="F4" s="314">
        <f>AVERAGE('CAMELS (E)'!K60,'CAMELS (E)'!K73,'CAMELS (E)'!K115)</f>
        <v>2.6666666666666665</v>
      </c>
      <c r="G4" s="315">
        <f>AVERAGE('CAMELS (L)'!K80,'CAMELS (L)'!K107,'CAMELS (L)'!K119)</f>
        <v>1.3333333333333333</v>
      </c>
      <c r="H4" s="312">
        <f t="shared" ref="H4:H8" si="1">AVERAGE(C4:G4)</f>
        <v>1.9666666666666668</v>
      </c>
      <c r="J4" s="338">
        <f t="shared" si="0"/>
        <v>1</v>
      </c>
    </row>
    <row r="5" spans="2:10">
      <c r="B5" s="266" t="s">
        <v>189</v>
      </c>
      <c r="C5" s="313">
        <f>AVERAGE('CAMELS (C)'!L51,'CAMELS (C)'!L63,'CAMELS (C)'!L75)</f>
        <v>2.3333333333333335</v>
      </c>
      <c r="D5" s="314">
        <f>AVERAGE('CAMELS (A)'!L46,'CAMELS (A)'!L58)</f>
        <v>3</v>
      </c>
      <c r="E5" s="314">
        <f>AVERAGE('CAMELS (M)'!K46,'CAMELS (M)'!K73,'CAMELS (M)'!K85)</f>
        <v>2.6666666666666665</v>
      </c>
      <c r="F5" s="314">
        <f>AVERAGE('CAMELS (E)'!K61,'CAMELS (E)'!K74,'CAMELS (E)'!K116)</f>
        <v>3.6666666666666665</v>
      </c>
      <c r="G5" s="315">
        <f>AVERAGE('CAMELS (L)'!K81,'CAMELS (L)'!K108,'CAMELS (L)'!K120)</f>
        <v>2.3333333333333335</v>
      </c>
      <c r="H5" s="312">
        <f t="shared" si="1"/>
        <v>2.8</v>
      </c>
      <c r="J5" s="338">
        <f t="shared" si="0"/>
        <v>4</v>
      </c>
    </row>
    <row r="6" spans="2:10">
      <c r="B6" s="266" t="s">
        <v>190</v>
      </c>
      <c r="C6" s="313">
        <f>AVERAGE('CAMELS (C)'!L52,'CAMELS (C)'!L64,'CAMELS (C)'!L76)</f>
        <v>3</v>
      </c>
      <c r="D6" s="314">
        <f>AVERAGE('CAMELS (A)'!L47,'CAMELS (A)'!L59)</f>
        <v>2</v>
      </c>
      <c r="E6" s="314">
        <f>AVERAGE('CAMELS (M)'!K47,'CAMELS (M)'!K74,'CAMELS (M)'!K86)</f>
        <v>3.3333333333333335</v>
      </c>
      <c r="F6" s="314">
        <f>AVERAGE('CAMELS (E)'!K62,'CAMELS (E)'!K75,'CAMELS (E)'!K117)</f>
        <v>3.6666666666666665</v>
      </c>
      <c r="G6" s="315">
        <f>AVERAGE('CAMELS (L)'!K82,'CAMELS (L)'!K109,'CAMELS (L)'!K121)</f>
        <v>2</v>
      </c>
      <c r="H6" s="312">
        <f t="shared" si="1"/>
        <v>2.8</v>
      </c>
      <c r="J6" s="338">
        <f t="shared" si="0"/>
        <v>4</v>
      </c>
    </row>
    <row r="7" spans="2:10">
      <c r="B7" s="266" t="s">
        <v>191</v>
      </c>
      <c r="C7" s="313">
        <f>AVERAGE('CAMELS (C)'!L53,'CAMELS (C)'!L65,'CAMELS (C)'!L77)</f>
        <v>2.3333333333333335</v>
      </c>
      <c r="D7" s="314">
        <f>AVERAGE('CAMELS (A)'!L48,'CAMELS (A)'!L60)</f>
        <v>2</v>
      </c>
      <c r="E7" s="314">
        <f>AVERAGE('CAMELS (M)'!K48,'CAMELS (M)'!K75,'CAMELS (M)'!K87)</f>
        <v>2.3333333333333335</v>
      </c>
      <c r="F7" s="314">
        <f>AVERAGE('CAMELS (E)'!K63,'CAMELS (E)'!K76,'CAMELS (E)'!K118)</f>
        <v>2.6666666666666665</v>
      </c>
      <c r="G7" s="315">
        <f>AVERAGE('CAMELS (L)'!K83,'CAMELS (L)'!K110,'CAMELS (L)'!K122)</f>
        <v>1.3333333333333333</v>
      </c>
      <c r="H7" s="312">
        <f t="shared" si="1"/>
        <v>2.1333333333333337</v>
      </c>
      <c r="J7" s="338">
        <f t="shared" si="0"/>
        <v>2</v>
      </c>
    </row>
    <row r="8" spans="2:10" ht="15" thickBot="1">
      <c r="B8" s="267" t="s">
        <v>192</v>
      </c>
      <c r="C8" s="313">
        <f>AVERAGE('CAMELS (C)'!L54,'CAMELS (C)'!L66,'CAMELS (C)'!L78)</f>
        <v>2.3333333333333335</v>
      </c>
      <c r="D8" s="314">
        <f>AVERAGE('CAMELS (A)'!L49,'CAMELS (A)'!L61)</f>
        <v>2</v>
      </c>
      <c r="E8" s="314">
        <f>AVERAGE('CAMELS (M)'!K49,'CAMELS (M)'!K76,'CAMELS (M)'!K88)</f>
        <v>2.6666666666666665</v>
      </c>
      <c r="F8" s="314">
        <f>AVERAGE('CAMELS (E)'!K64,'CAMELS (E)'!K77,'CAMELS (E)'!K119)</f>
        <v>4.666666666666667</v>
      </c>
      <c r="G8" s="315">
        <f>AVERAGE('CAMELS (L)'!K84,'CAMELS (L)'!K111,'CAMELS (L)'!K123)</f>
        <v>1.6666666666666667</v>
      </c>
      <c r="H8" s="312">
        <f t="shared" si="1"/>
        <v>2.666666666666667</v>
      </c>
      <c r="J8" s="338">
        <f t="shared" si="0"/>
        <v>3</v>
      </c>
    </row>
    <row r="9" spans="2:10" ht="15" thickBot="1">
      <c r="B9" s="272" t="s">
        <v>124</v>
      </c>
      <c r="C9" s="316">
        <f>AVERAGE(C3:C8)</f>
        <v>2.5000000000000004</v>
      </c>
      <c r="D9" s="316">
        <f t="shared" ref="D9:G9" si="2">AVERAGE(D3:D8)</f>
        <v>2.25</v>
      </c>
      <c r="E9" s="316">
        <f t="shared" si="2"/>
        <v>2.6666666666666665</v>
      </c>
      <c r="F9" s="316">
        <f t="shared" si="2"/>
        <v>3.6111111111111112</v>
      </c>
      <c r="G9" s="316">
        <f t="shared" si="2"/>
        <v>1.6666666666666667</v>
      </c>
      <c r="H9" s="317">
        <f>AVERAGE(C9:G9,H3:H8)</f>
        <v>2.5388888888888892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9D138-1BFB-4FB1-87A0-CB8F56A64CB5}">
  <dimension ref="A1:K15"/>
  <sheetViews>
    <sheetView zoomScale="70" zoomScaleNormal="70" workbookViewId="0">
      <selection activeCell="K7" sqref="K7"/>
    </sheetView>
  </sheetViews>
  <sheetFormatPr defaultRowHeight="14.4"/>
  <cols>
    <col min="1" max="1" width="3.44140625" bestFit="1" customWidth="1"/>
    <col min="2" max="2" width="15.33203125" customWidth="1"/>
    <col min="3" max="7" width="15.88671875" customWidth="1"/>
  </cols>
  <sheetData>
    <row r="1" spans="1:11" ht="15" thickBot="1">
      <c r="B1" s="286"/>
      <c r="C1" s="281" t="s">
        <v>239</v>
      </c>
      <c r="D1" s="281" t="s">
        <v>240</v>
      </c>
      <c r="E1" s="281" t="s">
        <v>241</v>
      </c>
      <c r="F1" s="281" t="s">
        <v>242</v>
      </c>
      <c r="G1" s="282" t="s">
        <v>243</v>
      </c>
    </row>
    <row r="2" spans="1:11" ht="28.8">
      <c r="A2" s="355" t="s">
        <v>180</v>
      </c>
      <c r="B2" s="296" t="s">
        <v>244</v>
      </c>
      <c r="C2" s="283" t="s">
        <v>257</v>
      </c>
      <c r="D2" s="276" t="s">
        <v>263</v>
      </c>
      <c r="E2" s="276" t="s">
        <v>264</v>
      </c>
      <c r="F2" s="276" t="s">
        <v>265</v>
      </c>
      <c r="G2" s="277" t="s">
        <v>266</v>
      </c>
    </row>
    <row r="3" spans="1:11" ht="28.8">
      <c r="A3" s="356"/>
      <c r="B3" s="297" t="s">
        <v>245</v>
      </c>
      <c r="C3" s="284" t="s">
        <v>246</v>
      </c>
      <c r="D3" s="275" t="s">
        <v>267</v>
      </c>
      <c r="E3" s="275" t="s">
        <v>268</v>
      </c>
      <c r="F3" s="275" t="s">
        <v>269</v>
      </c>
      <c r="G3" s="278" t="s">
        <v>270</v>
      </c>
    </row>
    <row r="4" spans="1:11" ht="43.8" thickBot="1">
      <c r="A4" s="357"/>
      <c r="B4" s="298" t="s">
        <v>247</v>
      </c>
      <c r="C4" s="285" t="s">
        <v>248</v>
      </c>
      <c r="D4" s="279" t="s">
        <v>271</v>
      </c>
      <c r="E4" s="279" t="s">
        <v>272</v>
      </c>
      <c r="F4" s="279" t="s">
        <v>273</v>
      </c>
      <c r="G4" s="280" t="s">
        <v>274</v>
      </c>
      <c r="K4" t="s">
        <v>318</v>
      </c>
    </row>
    <row r="5" spans="1:11" ht="28.8">
      <c r="A5" s="358" t="s">
        <v>181</v>
      </c>
      <c r="B5" s="299" t="s">
        <v>249</v>
      </c>
      <c r="C5" s="287" t="s">
        <v>275</v>
      </c>
      <c r="D5" s="288" t="s">
        <v>276</v>
      </c>
      <c r="E5" s="288" t="s">
        <v>277</v>
      </c>
      <c r="F5" s="288" t="s">
        <v>278</v>
      </c>
      <c r="G5" s="289" t="s">
        <v>250</v>
      </c>
    </row>
    <row r="6" spans="1:11" ht="43.8" thickBot="1">
      <c r="A6" s="359"/>
      <c r="B6" s="300" t="s">
        <v>251</v>
      </c>
      <c r="C6" s="290" t="s">
        <v>279</v>
      </c>
      <c r="D6" s="291" t="s">
        <v>280</v>
      </c>
      <c r="E6" s="291" t="s">
        <v>281</v>
      </c>
      <c r="F6" s="291" t="s">
        <v>282</v>
      </c>
      <c r="G6" s="292" t="s">
        <v>252</v>
      </c>
    </row>
    <row r="7" spans="1:11" ht="28.8">
      <c r="A7" s="358" t="s">
        <v>182</v>
      </c>
      <c r="B7" s="296" t="s">
        <v>253</v>
      </c>
      <c r="C7" s="283" t="s">
        <v>283</v>
      </c>
      <c r="D7" s="276" t="s">
        <v>284</v>
      </c>
      <c r="E7" s="276" t="s">
        <v>280</v>
      </c>
      <c r="F7" s="276" t="s">
        <v>285</v>
      </c>
      <c r="G7" s="277" t="s">
        <v>252</v>
      </c>
    </row>
    <row r="8" spans="1:11" ht="28.8">
      <c r="A8" s="360"/>
      <c r="B8" s="297" t="s">
        <v>126</v>
      </c>
      <c r="C8" s="284" t="s">
        <v>254</v>
      </c>
      <c r="D8" s="275" t="s">
        <v>286</v>
      </c>
      <c r="E8" s="275" t="s">
        <v>287</v>
      </c>
      <c r="F8" s="275" t="s">
        <v>288</v>
      </c>
      <c r="G8" s="278" t="s">
        <v>289</v>
      </c>
    </row>
    <row r="9" spans="1:11" ht="29.4" thickBot="1">
      <c r="A9" s="359"/>
      <c r="B9" s="298" t="s">
        <v>255</v>
      </c>
      <c r="C9" s="285" t="s">
        <v>290</v>
      </c>
      <c r="D9" s="279" t="s">
        <v>291</v>
      </c>
      <c r="E9" s="279" t="s">
        <v>292</v>
      </c>
      <c r="F9" s="279" t="s">
        <v>293</v>
      </c>
      <c r="G9" s="280" t="s">
        <v>256</v>
      </c>
    </row>
    <row r="10" spans="1:11">
      <c r="A10" s="358" t="s">
        <v>183</v>
      </c>
      <c r="B10" s="299" t="s">
        <v>164</v>
      </c>
      <c r="C10" s="287" t="s">
        <v>294</v>
      </c>
      <c r="D10" s="288" t="s">
        <v>295</v>
      </c>
      <c r="E10" s="288" t="s">
        <v>296</v>
      </c>
      <c r="F10" s="288" t="s">
        <v>297</v>
      </c>
      <c r="G10" s="289" t="s">
        <v>298</v>
      </c>
    </row>
    <row r="11" spans="1:11">
      <c r="A11" s="360"/>
      <c r="B11" s="301" t="s">
        <v>165</v>
      </c>
      <c r="C11" s="293" t="s">
        <v>299</v>
      </c>
      <c r="D11" s="294" t="s">
        <v>300</v>
      </c>
      <c r="E11" s="294" t="s">
        <v>301</v>
      </c>
      <c r="F11" s="294" t="s">
        <v>302</v>
      </c>
      <c r="G11" s="295" t="s">
        <v>303</v>
      </c>
    </row>
    <row r="12" spans="1:11" ht="29.4" thickBot="1">
      <c r="A12" s="359"/>
      <c r="B12" s="300" t="s">
        <v>131</v>
      </c>
      <c r="C12" s="290" t="s">
        <v>258</v>
      </c>
      <c r="D12" s="291" t="s">
        <v>304</v>
      </c>
      <c r="E12" s="291" t="s">
        <v>305</v>
      </c>
      <c r="F12" s="291" t="s">
        <v>302</v>
      </c>
      <c r="G12" s="292" t="s">
        <v>303</v>
      </c>
    </row>
    <row r="13" spans="1:11" ht="28.8">
      <c r="A13" s="358" t="s">
        <v>184</v>
      </c>
      <c r="B13" s="296" t="s">
        <v>259</v>
      </c>
      <c r="C13" s="283" t="s">
        <v>260</v>
      </c>
      <c r="D13" s="276" t="s">
        <v>306</v>
      </c>
      <c r="E13" s="276" t="s">
        <v>307</v>
      </c>
      <c r="F13" s="276" t="s">
        <v>308</v>
      </c>
      <c r="G13" s="277" t="s">
        <v>298</v>
      </c>
    </row>
    <row r="14" spans="1:11">
      <c r="A14" s="360"/>
      <c r="B14" s="297" t="s">
        <v>166</v>
      </c>
      <c r="C14" s="284" t="s">
        <v>309</v>
      </c>
      <c r="D14" s="275" t="s">
        <v>310</v>
      </c>
      <c r="E14" s="275" t="s">
        <v>311</v>
      </c>
      <c r="F14" s="275" t="s">
        <v>312</v>
      </c>
      <c r="G14" s="278" t="s">
        <v>261</v>
      </c>
    </row>
    <row r="15" spans="1:11" ht="29.4" thickBot="1">
      <c r="A15" s="359"/>
      <c r="B15" s="298" t="s">
        <v>167</v>
      </c>
      <c r="C15" s="285" t="s">
        <v>262</v>
      </c>
      <c r="D15" s="279" t="s">
        <v>313</v>
      </c>
      <c r="E15" s="279" t="s">
        <v>304</v>
      </c>
      <c r="F15" s="279" t="s">
        <v>305</v>
      </c>
      <c r="G15" s="280" t="s">
        <v>290</v>
      </c>
    </row>
  </sheetData>
  <mergeCells count="5">
    <mergeCell ref="A2:A4"/>
    <mergeCell ref="A5:A6"/>
    <mergeCell ref="A7:A9"/>
    <mergeCell ref="A10:A12"/>
    <mergeCell ref="A13:A1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9D3B-0485-4A4D-AA7B-9793EF562ECE}">
  <dimension ref="A1:D22"/>
  <sheetViews>
    <sheetView zoomScale="70" zoomScaleNormal="70" workbookViewId="0">
      <selection activeCell="D7" sqref="D7"/>
    </sheetView>
  </sheetViews>
  <sheetFormatPr defaultRowHeight="14.4"/>
  <cols>
    <col min="2" max="2" width="10" bestFit="1" customWidth="1"/>
    <col min="3" max="3" width="12.21875" bestFit="1" customWidth="1"/>
    <col min="4" max="4" width="53" customWidth="1"/>
  </cols>
  <sheetData>
    <row r="1" spans="1:4" ht="28.2" thickBot="1">
      <c r="A1" s="325" t="s">
        <v>314</v>
      </c>
      <c r="B1" s="326" t="s">
        <v>319</v>
      </c>
      <c r="C1" s="326" t="s">
        <v>315</v>
      </c>
      <c r="D1" s="326" t="s">
        <v>320</v>
      </c>
    </row>
    <row r="2" spans="1:4">
      <c r="A2" s="361">
        <v>1</v>
      </c>
      <c r="B2" s="361" t="s">
        <v>321</v>
      </c>
      <c r="C2" s="361" t="s">
        <v>316</v>
      </c>
      <c r="D2" s="327" t="s">
        <v>322</v>
      </c>
    </row>
    <row r="3" spans="1:4" ht="28.8">
      <c r="A3" s="362"/>
      <c r="B3" s="362"/>
      <c r="C3" s="362"/>
      <c r="D3" s="327" t="s">
        <v>323</v>
      </c>
    </row>
    <row r="4" spans="1:4" ht="28.8">
      <c r="A4" s="362"/>
      <c r="B4" s="362"/>
      <c r="C4" s="362"/>
      <c r="D4" s="327" t="s">
        <v>324</v>
      </c>
    </row>
    <row r="5" spans="1:4" ht="15" thickBot="1">
      <c r="A5" s="363"/>
      <c r="B5" s="363"/>
      <c r="C5" s="363"/>
      <c r="D5" s="328" t="s">
        <v>325</v>
      </c>
    </row>
    <row r="6" spans="1:4">
      <c r="A6" s="364">
        <v>2</v>
      </c>
      <c r="B6" s="364" t="s">
        <v>326</v>
      </c>
      <c r="C6" s="364" t="s">
        <v>327</v>
      </c>
      <c r="D6" s="329" t="s">
        <v>328</v>
      </c>
    </row>
    <row r="7" spans="1:4" ht="28.8">
      <c r="A7" s="365"/>
      <c r="B7" s="365"/>
      <c r="C7" s="365"/>
      <c r="D7" s="329" t="s">
        <v>323</v>
      </c>
    </row>
    <row r="8" spans="1:4">
      <c r="A8" s="365"/>
      <c r="B8" s="365"/>
      <c r="C8" s="365"/>
      <c r="D8" s="329" t="s">
        <v>329</v>
      </c>
    </row>
    <row r="9" spans="1:4" ht="29.4" thickBot="1">
      <c r="A9" s="366"/>
      <c r="B9" s="366"/>
      <c r="C9" s="366"/>
      <c r="D9" s="330" t="s">
        <v>330</v>
      </c>
    </row>
    <row r="10" spans="1:4" ht="28.8">
      <c r="A10" s="361">
        <v>3</v>
      </c>
      <c r="B10" s="361" t="s">
        <v>331</v>
      </c>
      <c r="C10" s="361" t="s">
        <v>332</v>
      </c>
      <c r="D10" s="327" t="s">
        <v>333</v>
      </c>
    </row>
    <row r="11" spans="1:4">
      <c r="A11" s="362"/>
      <c r="B11" s="362"/>
      <c r="C11" s="362"/>
      <c r="D11" s="327" t="s">
        <v>334</v>
      </c>
    </row>
    <row r="12" spans="1:4" ht="28.8">
      <c r="A12" s="362"/>
      <c r="B12" s="362"/>
      <c r="C12" s="362"/>
      <c r="D12" s="327" t="s">
        <v>335</v>
      </c>
    </row>
    <row r="13" spans="1:4" ht="29.4" thickBot="1">
      <c r="A13" s="363"/>
      <c r="B13" s="363"/>
      <c r="C13" s="363"/>
      <c r="D13" s="328" t="s">
        <v>336</v>
      </c>
    </row>
    <row r="14" spans="1:4">
      <c r="A14" s="364">
        <v>4</v>
      </c>
      <c r="B14" s="364" t="s">
        <v>337</v>
      </c>
      <c r="C14" s="364" t="s">
        <v>317</v>
      </c>
      <c r="D14" s="329" t="s">
        <v>338</v>
      </c>
    </row>
    <row r="15" spans="1:4" ht="28.8">
      <c r="A15" s="365"/>
      <c r="B15" s="365"/>
      <c r="C15" s="365"/>
      <c r="D15" s="329" t="s">
        <v>339</v>
      </c>
    </row>
    <row r="16" spans="1:4" ht="28.8">
      <c r="A16" s="365"/>
      <c r="B16" s="365"/>
      <c r="C16" s="365"/>
      <c r="D16" s="329" t="s">
        <v>340</v>
      </c>
    </row>
    <row r="17" spans="1:4">
      <c r="A17" s="365"/>
      <c r="B17" s="365"/>
      <c r="C17" s="365"/>
      <c r="D17" s="329" t="s">
        <v>341</v>
      </c>
    </row>
    <row r="18" spans="1:4" ht="29.4" thickBot="1">
      <c r="A18" s="366"/>
      <c r="B18" s="366"/>
      <c r="C18" s="366"/>
      <c r="D18" s="330" t="s">
        <v>342</v>
      </c>
    </row>
    <row r="19" spans="1:4" ht="28.8">
      <c r="A19" s="361">
        <v>5</v>
      </c>
      <c r="B19" s="361" t="s">
        <v>343</v>
      </c>
      <c r="C19" s="361" t="s">
        <v>344</v>
      </c>
      <c r="D19" s="327" t="s">
        <v>345</v>
      </c>
    </row>
    <row r="20" spans="1:4">
      <c r="A20" s="362"/>
      <c r="B20" s="362"/>
      <c r="C20" s="362"/>
      <c r="D20" s="327" t="s">
        <v>346</v>
      </c>
    </row>
    <row r="21" spans="1:4" ht="28.8">
      <c r="A21" s="362"/>
      <c r="B21" s="362"/>
      <c r="C21" s="362"/>
      <c r="D21" s="331" t="s">
        <v>347</v>
      </c>
    </row>
    <row r="22" spans="1:4" ht="29.4" thickBot="1">
      <c r="A22" s="363"/>
      <c r="B22" s="363"/>
      <c r="C22" s="363"/>
      <c r="D22" s="328" t="s">
        <v>348</v>
      </c>
    </row>
  </sheetData>
  <mergeCells count="15">
    <mergeCell ref="A2:A5"/>
    <mergeCell ref="B2:B5"/>
    <mergeCell ref="C2:C5"/>
    <mergeCell ref="A6:A9"/>
    <mergeCell ref="B6:B9"/>
    <mergeCell ref="C6:C9"/>
    <mergeCell ref="A19:A22"/>
    <mergeCell ref="B19:B22"/>
    <mergeCell ref="C19:C22"/>
    <mergeCell ref="A10:A13"/>
    <mergeCell ref="B10:B13"/>
    <mergeCell ref="C10:C13"/>
    <mergeCell ref="A14:A18"/>
    <mergeCell ref="B14:B18"/>
    <mergeCell ref="C14:C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22</vt:i4>
      </vt:variant>
    </vt:vector>
  </HeadingPairs>
  <TitlesOfParts>
    <vt:vector size="22" baseType="lpstr">
      <vt:lpstr>ADATOK</vt:lpstr>
      <vt:lpstr>CAMELS (C)</vt:lpstr>
      <vt:lpstr>CAMELS (A)</vt:lpstr>
      <vt:lpstr>CAMELS (M)</vt:lpstr>
      <vt:lpstr>CAMELS (E)</vt:lpstr>
      <vt:lpstr>CAMELS (L)</vt:lpstr>
      <vt:lpstr>CAMEL eredmény</vt:lpstr>
      <vt:lpstr>CAMEL értékelési tartomány</vt:lpstr>
      <vt:lpstr>CAMEL komplex értékelés</vt:lpstr>
      <vt:lpstr>Bankok rangsorolása</vt:lpstr>
      <vt:lpstr>Albaraka Turk (éves)</vt:lpstr>
      <vt:lpstr>Albaraka Turk (negyedéves)</vt:lpstr>
      <vt:lpstr>Kuveyt Turk (éves)</vt:lpstr>
      <vt:lpstr>Kuveyt Turk (negyedéves)</vt:lpstr>
      <vt:lpstr>Turkiye Finans (éves)</vt:lpstr>
      <vt:lpstr>Turkiye Finans (negyedéves)</vt:lpstr>
      <vt:lpstr>Ziraat Katilim (éves)</vt:lpstr>
      <vt:lpstr>Ziraat Katilim (negyedéves)</vt:lpstr>
      <vt:lpstr>Vakif Katilim (éves)</vt:lpstr>
      <vt:lpstr>Vakif Katilim (negyedéves)</vt:lpstr>
      <vt:lpstr>Emlak Katilim (éves)</vt:lpstr>
      <vt:lpstr>Emlak Katilim (negyedéves)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Timi</dc:creator>
  <cp:lastModifiedBy>Nagy Tímea</cp:lastModifiedBy>
  <dcterms:created xsi:type="dcterms:W3CDTF">2022-12-12T09:34:00Z</dcterms:created>
  <dcterms:modified xsi:type="dcterms:W3CDTF">2023-04-28T06:24:32Z</dcterms:modified>
</cp:coreProperties>
</file>